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420" windowHeight="9792" activeTab="3"/>
  </bookViews>
  <sheets>
    <sheet name="2010" sheetId="1" r:id="rId1"/>
    <sheet name="2011" sheetId="2" r:id="rId2"/>
    <sheet name="2012" sheetId="3" r:id="rId3"/>
    <sheet name="2013" sheetId="4" r:id="rId4"/>
  </sheets>
  <definedNames/>
  <calcPr fullCalcOnLoad="1"/>
</workbook>
</file>

<file path=xl/sharedStrings.xml><?xml version="1.0" encoding="utf-8"?>
<sst xmlns="http://schemas.openxmlformats.org/spreadsheetml/2006/main" count="357" uniqueCount="161">
  <si>
    <t>Смета доходов и расходов</t>
  </si>
  <si>
    <t>по ТСЖ ЖСК Орбита за 2010 г.</t>
  </si>
  <si>
    <t>Доходы</t>
  </si>
  <si>
    <t>Аренда подсобного помещения</t>
  </si>
  <si>
    <t>Сборы за техн.обсл.здания</t>
  </si>
  <si>
    <t>Капитальный ремонт дома</t>
  </si>
  <si>
    <t>% по остатку денежных средств</t>
  </si>
  <si>
    <t>Остаток по кассе на 01.01.2010 г.</t>
  </si>
  <si>
    <t>ИТОГО:</t>
  </si>
  <si>
    <t>Расходы</t>
  </si>
  <si>
    <t xml:space="preserve">Заработная плата </t>
  </si>
  <si>
    <t>Отчисления в ПФР</t>
  </si>
  <si>
    <t>Отчисления в ИФНС (НДФЛ)</t>
  </si>
  <si>
    <t>Отчисления в ИФНС (аренда)</t>
  </si>
  <si>
    <t>Электроэнергия</t>
  </si>
  <si>
    <t>Телефон правления</t>
  </si>
  <si>
    <t>% за услуги банка</t>
  </si>
  <si>
    <t>Уборка снега  и мусора, проведение субботника</t>
  </si>
  <si>
    <t>Хоз.нужды, материалы и канц. Товары</t>
  </si>
  <si>
    <t>Ремонтные и аварийные работы</t>
  </si>
  <si>
    <t>Полная замена тепл.узла с уст.электр.сч.</t>
  </si>
  <si>
    <t>Дератизация от блох и мышей в подвале</t>
  </si>
  <si>
    <t>Ремонт дороги вдоль дома и в районе мусоросб.</t>
  </si>
  <si>
    <t>Оказание единовр. помощи пострадавшим</t>
  </si>
  <si>
    <t>Благоустройство территории</t>
  </si>
  <si>
    <t>Прочистка вент.каналов</t>
  </si>
  <si>
    <t>Юридич. сопровожд.</t>
  </si>
  <si>
    <t>Остаток по банку на 01.01.2010 г.</t>
  </si>
  <si>
    <t>Ревизия</t>
  </si>
  <si>
    <t>Окна</t>
  </si>
  <si>
    <t>94595+7106.5</t>
  </si>
  <si>
    <t>143345,МО.Наро-Фоминский р-н</t>
  </si>
  <si>
    <t>р/с       40703810540270124036</t>
  </si>
  <si>
    <t>п.Селятино.д.Орбита</t>
  </si>
  <si>
    <t>БИК     044525225</t>
  </si>
  <si>
    <t xml:space="preserve">к/сч.    30101810400000000225 </t>
  </si>
  <si>
    <t>инн/кпп 503009169 /503001001</t>
  </si>
  <si>
    <t>ОСБ 2572/080 СБ России г.Москва</t>
  </si>
  <si>
    <t xml:space="preserve"> /080 СБ России  г.Москва</t>
  </si>
  <si>
    <t>----------------------------------------------------------------------------------------------------------------------------------</t>
  </si>
  <si>
    <t xml:space="preserve">тел.8 (496)342-33-76 </t>
  </si>
  <si>
    <t>Остаток по кассе на 01.01.2011 г.</t>
  </si>
  <si>
    <t>Остаток по банку на 01.01.2011 г.</t>
  </si>
  <si>
    <t>Прочие (Бивег.Дримлайн.фотосал.уборщ.)</t>
  </si>
  <si>
    <t>Оформление лимита (экология)</t>
  </si>
  <si>
    <t>Хоз.нужды, материалы и канц. Товары.почт.расх.</t>
  </si>
  <si>
    <t>Служ.разъезды.поздравления</t>
  </si>
  <si>
    <t>Промывка и опрессовка стояков и бат. Отопл.</t>
  </si>
  <si>
    <t>Благоустр-во тер. (очистка снега и пров.суб.)</t>
  </si>
  <si>
    <t>Услуги юриста</t>
  </si>
  <si>
    <t>Ремонт козырьков над входами</t>
  </si>
  <si>
    <t>Дезинфекция от блох</t>
  </si>
  <si>
    <t>Противопож.обсл. В аренд.пом.</t>
  </si>
  <si>
    <t>Приведение в порядок противопож.обор.</t>
  </si>
  <si>
    <t>Вывоз ТБО</t>
  </si>
  <si>
    <t>ИФНС (зем.налог)</t>
  </si>
  <si>
    <t>Товарищество собственников жилья</t>
  </si>
  <si>
    <t xml:space="preserve">          Антипина Н.Н.</t>
  </si>
  <si>
    <t>Утверждено на собрании</t>
  </si>
  <si>
    <t xml:space="preserve">протокол № </t>
  </si>
  <si>
    <t>от</t>
  </si>
  <si>
    <t>Техн.обсл.узла учета тепл.</t>
  </si>
  <si>
    <t>Составили:</t>
  </si>
  <si>
    <t xml:space="preserve">          Типикина Г.М.</t>
  </si>
  <si>
    <t>Премиальный фонд</t>
  </si>
  <si>
    <t>январь</t>
  </si>
  <si>
    <t>февраль</t>
  </si>
  <si>
    <t>март</t>
  </si>
  <si>
    <t>апрель</t>
  </si>
  <si>
    <t>май</t>
  </si>
  <si>
    <t>июнь</t>
  </si>
  <si>
    <t>сошников оконч.расчет</t>
  </si>
  <si>
    <t>июль</t>
  </si>
  <si>
    <t>август</t>
  </si>
  <si>
    <t>сентябрь</t>
  </si>
  <si>
    <t>госпошлина</t>
  </si>
  <si>
    <t>Отчисления в ИФНС (аренда)прибыль</t>
  </si>
  <si>
    <t>скс</t>
  </si>
  <si>
    <t>нтэк</t>
  </si>
  <si>
    <t>мособлгаз</t>
  </si>
  <si>
    <t>пени</t>
  </si>
  <si>
    <t>домофон</t>
  </si>
  <si>
    <t>возврат госпошл</t>
  </si>
  <si>
    <t>селятино-строй</t>
  </si>
  <si>
    <t>копии в ифнс</t>
  </si>
  <si>
    <t>экопроект</t>
  </si>
  <si>
    <t>октябрь</t>
  </si>
  <si>
    <t>ноябрь</t>
  </si>
  <si>
    <t>декабрь</t>
  </si>
  <si>
    <t xml:space="preserve"> </t>
  </si>
  <si>
    <t>очистка дорог от снега .крыш</t>
  </si>
  <si>
    <t>отопл.,гор.в.</t>
  </si>
  <si>
    <t>ХВС,кан,</t>
  </si>
  <si>
    <t>газ</t>
  </si>
  <si>
    <t>антенна</t>
  </si>
  <si>
    <t>дезобр.</t>
  </si>
  <si>
    <t>уборка пом</t>
  </si>
  <si>
    <t>доп.усл</t>
  </si>
  <si>
    <t>перерасчет</t>
  </si>
  <si>
    <t>тбо</t>
  </si>
  <si>
    <t>система видеонабл.</t>
  </si>
  <si>
    <t xml:space="preserve">    ОРБИТА</t>
  </si>
  <si>
    <t>Аварийные и рем.работы, вкл.рем.балконов(стройИмпекс)</t>
  </si>
  <si>
    <t>Долевое участие в ремонте дороги(отделстрой)</t>
  </si>
  <si>
    <t>Полная замена труб ГВС с сост.сметы(СелятиноСтрой)</t>
  </si>
  <si>
    <t>План</t>
  </si>
  <si>
    <t>Факт</t>
  </si>
  <si>
    <t>Остаток по кассе на 01.01.2012 г.</t>
  </si>
  <si>
    <t>Остаток по банку на 01.01.2012 г.</t>
  </si>
  <si>
    <t>Аварийные и ремонтые работы</t>
  </si>
  <si>
    <t>Замена вентилей на стояках отопления</t>
  </si>
  <si>
    <t>Программа Домовладелец</t>
  </si>
  <si>
    <t>Подписка</t>
  </si>
  <si>
    <t>Ремонт подъездов</t>
  </si>
  <si>
    <t>Штрафы по итогам проверки гос.жил.инспекции</t>
  </si>
  <si>
    <t>Установка системы видеонаблюдения в подвале</t>
  </si>
  <si>
    <t>по ТСЖ Орбита на 2012 г.</t>
  </si>
  <si>
    <t>Земельный налог</t>
  </si>
  <si>
    <t>Налог по экологии. Лимит на вывоз мусора</t>
  </si>
  <si>
    <t>Э/энергия мест общего пользования</t>
  </si>
  <si>
    <t>Техническое обслуживание узла учета</t>
  </si>
  <si>
    <t>Налог на прибыль</t>
  </si>
  <si>
    <t>Обсуживание пожарной сигнализации</t>
  </si>
  <si>
    <t>Полная замена эл.проводки в подвале</t>
  </si>
  <si>
    <t xml:space="preserve">Замена светильников п подъездах </t>
  </si>
  <si>
    <t>Ремонт подъездов по предп. Жил.инсп.</t>
  </si>
  <si>
    <t>Создание сайта согл. ФЗ № 731 и ПП ; 94 от 06.02.2012</t>
  </si>
  <si>
    <t>Юридическое сопровождение</t>
  </si>
  <si>
    <t>ВСЕГО:</t>
  </si>
  <si>
    <t xml:space="preserve">                                                                                      ОСБ 2572/080 СБ России г.Москва</t>
  </si>
  <si>
    <t>по ТСЖ  Орбита на 2011 г.</t>
  </si>
  <si>
    <t>программа 1-С</t>
  </si>
  <si>
    <t>аудит.пров.</t>
  </si>
  <si>
    <t>Дезинфекция</t>
  </si>
  <si>
    <t>Квартплата</t>
  </si>
  <si>
    <t>по ТСЖ Орбита на 2013 г.</t>
  </si>
  <si>
    <t>Остаток по кассе на 01.01.2013 г.</t>
  </si>
  <si>
    <t>Остаток по банку на 01.01.2013 г.</t>
  </si>
  <si>
    <t>I.</t>
  </si>
  <si>
    <t>Содержание и ремонт жилого помещения</t>
  </si>
  <si>
    <t>Управление многоквартирным домом</t>
  </si>
  <si>
    <t>Заработная плата персонала</t>
  </si>
  <si>
    <t>Вознаграждение председателя и членов правления</t>
  </si>
  <si>
    <t>Страховые взносы</t>
  </si>
  <si>
    <t xml:space="preserve">Расходы на телефон правления </t>
  </si>
  <si>
    <t>Канцелярские,почтовые расходы,материалы,обсл.оргтехники</t>
  </si>
  <si>
    <t>Программное обеспечение "Домовладелец"</t>
  </si>
  <si>
    <t>II.</t>
  </si>
  <si>
    <t>Заработная плата обсл.персонала</t>
  </si>
  <si>
    <t>Аварийные и ремонтные работы</t>
  </si>
  <si>
    <t>Электролампы,инвентарь,краски,оборудование</t>
  </si>
  <si>
    <t>Дератизация</t>
  </si>
  <si>
    <t>Обслуживание газового оборудования</t>
  </si>
  <si>
    <t>Обслуживание узла учета</t>
  </si>
  <si>
    <t>Благоустройство</t>
  </si>
  <si>
    <t>Опрессовка системы отопления</t>
  </si>
  <si>
    <t>Замена счетчика на холодную воду</t>
  </si>
  <si>
    <t>Налог по экологии</t>
  </si>
  <si>
    <t>Обсл.пожарной сигнализации в цокольном этаже</t>
  </si>
  <si>
    <t>п.Селятино.д.Орбита, 22/23</t>
  </si>
  <si>
    <t>Содержание и ремонт общего имущества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</si>
</sst>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00000"/>
    <numFmt numFmtId="167" formatCode="0000"/>
  </numFmts>
  <fonts count="23"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sz val="10"/>
      <color indexed="8"/>
      <name val="Arial Cyr"/>
      <family val="0"/>
    </font>
    <font>
      <b/>
      <sz val="10"/>
      <color indexed="61"/>
      <name val="Arial Cyr"/>
      <family val="0"/>
    </font>
    <font>
      <b/>
      <sz val="10"/>
      <color indexed="57"/>
      <name val="Arial Cyr"/>
      <family val="0"/>
    </font>
    <font>
      <b/>
      <sz val="10"/>
      <color indexed="46"/>
      <name val="Arial Cyr"/>
      <family val="0"/>
    </font>
    <font>
      <b/>
      <sz val="10"/>
      <color indexed="52"/>
      <name val="Arial Cyr"/>
      <family val="0"/>
    </font>
    <font>
      <b/>
      <sz val="10"/>
      <color indexed="8"/>
      <name val="Arial Cyr"/>
      <family val="0"/>
    </font>
    <font>
      <sz val="9"/>
      <name val="Arial Cyr"/>
      <family val="0"/>
    </font>
    <font>
      <b/>
      <sz val="10"/>
      <color indexed="9"/>
      <name val="Arial Cyr"/>
      <family val="0"/>
    </font>
    <font>
      <b/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5" fillId="2" borderId="0" xfId="0" applyFont="1" applyFill="1" applyAlignment="1">
      <alignment/>
    </xf>
    <xf numFmtId="0" fontId="16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1" xfId="0" applyBorder="1" applyAlignment="1">
      <alignment/>
    </xf>
    <xf numFmtId="2" fontId="8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2" fontId="12" fillId="0" borderId="1" xfId="0" applyNumberFormat="1" applyFont="1" applyBorder="1" applyAlignment="1">
      <alignment/>
    </xf>
    <xf numFmtId="0" fontId="15" fillId="2" borderId="1" xfId="0" applyFont="1" applyFill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6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8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3" xfId="0" applyFont="1" applyBorder="1" applyAlignment="1">
      <alignment/>
    </xf>
    <xf numFmtId="2" fontId="5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13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2" fontId="16" fillId="0" borderId="3" xfId="0" applyNumberFormat="1" applyFont="1" applyBorder="1" applyAlignment="1">
      <alignment/>
    </xf>
    <xf numFmtId="0" fontId="15" fillId="0" borderId="1" xfId="0" applyFont="1" applyBorder="1" applyAlignment="1">
      <alignment/>
    </xf>
    <xf numFmtId="2" fontId="15" fillId="0" borderId="1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Fill="1" applyBorder="1" applyAlignment="1">
      <alignment/>
    </xf>
    <xf numFmtId="2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2" fontId="8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22" fillId="0" borderId="5" xfId="0" applyFont="1" applyBorder="1" applyAlignment="1">
      <alignment/>
    </xf>
    <xf numFmtId="0" fontId="0" fillId="0" borderId="6" xfId="0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2" fontId="8" fillId="0" borderId="2" xfId="0" applyNumberFormat="1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E11" sqref="E11"/>
    </sheetView>
  </sheetViews>
  <sheetFormatPr defaultColWidth="9.00390625" defaultRowHeight="12.75"/>
  <cols>
    <col min="5" max="5" width="16.25390625" style="0" customWidth="1"/>
    <col min="10" max="10" width="8.875" style="3" customWidth="1"/>
  </cols>
  <sheetData>
    <row r="1" spans="1:10" ht="2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3" ht="17.25">
      <c r="A4" s="66" t="s">
        <v>2</v>
      </c>
      <c r="B4" s="66"/>
      <c r="C4" s="66"/>
    </row>
    <row r="6" spans="1:10" ht="12.75">
      <c r="A6">
        <v>1</v>
      </c>
      <c r="B6" s="67" t="s">
        <v>3</v>
      </c>
      <c r="C6" s="67"/>
      <c r="D6" s="67"/>
      <c r="E6" s="67"/>
      <c r="F6" s="69">
        <f>901684.97+77805</f>
        <v>979489.97</v>
      </c>
      <c r="G6" s="69"/>
      <c r="J6" s="3">
        <f>4200+86473.15+7500+4200+15000+49450+13000+2500+4980+4200+49450+13000+4980+7500+2500+4000+15000+2500+4980+13000+2434.51+49450+2500+4980+13000+49450+2500+4200+4980+15000+408.31+49450+13000+4200+2500+4980+4980+49400+4200+13000+2500+4980+4200+49450+13000+2500+1421.4+49450+13000+4200+4980+2500+199.55+4200+4980+49450+13000+2500+15000+11115+11115+2500+11115+2100+2500</f>
        <v>884981.92</v>
      </c>
    </row>
    <row r="7" spans="1:7" ht="12.75">
      <c r="A7">
        <v>2</v>
      </c>
      <c r="B7" s="67" t="s">
        <v>4</v>
      </c>
      <c r="C7" s="67"/>
      <c r="D7" s="67"/>
      <c r="E7" s="67"/>
      <c r="F7" s="69">
        <v>1251694.62</v>
      </c>
      <c r="G7" s="69"/>
    </row>
    <row r="8" spans="1:7" ht="12.75">
      <c r="A8">
        <v>3</v>
      </c>
      <c r="B8" s="67" t="s">
        <v>5</v>
      </c>
      <c r="C8" s="67"/>
      <c r="D8" s="67"/>
      <c r="E8" s="67"/>
      <c r="F8" s="69">
        <v>171169.92</v>
      </c>
      <c r="G8" s="69"/>
    </row>
    <row r="9" spans="1:10" ht="12.75">
      <c r="A9">
        <v>4</v>
      </c>
      <c r="B9" s="68" t="s">
        <v>6</v>
      </c>
      <c r="C9" s="68"/>
      <c r="D9" s="68"/>
      <c r="E9" s="68"/>
      <c r="F9" s="69">
        <v>11275.17</v>
      </c>
      <c r="G9" s="69"/>
      <c r="J9" s="3">
        <f>1262.34+1282.73+1080.21</f>
        <v>3625.2799999999997</v>
      </c>
    </row>
    <row r="10" spans="1:7" ht="12.75">
      <c r="A10">
        <v>5</v>
      </c>
      <c r="B10" s="68" t="s">
        <v>7</v>
      </c>
      <c r="C10" s="68"/>
      <c r="D10" s="68"/>
      <c r="E10" s="68"/>
      <c r="F10" s="69">
        <v>923.03</v>
      </c>
      <c r="G10" s="69"/>
    </row>
    <row r="11" spans="1:7" ht="12.75">
      <c r="A11">
        <v>6</v>
      </c>
      <c r="B11" s="1" t="s">
        <v>27</v>
      </c>
      <c r="C11" s="1"/>
      <c r="D11" s="1"/>
      <c r="E11" s="1"/>
      <c r="F11" s="69">
        <v>2290973.55</v>
      </c>
      <c r="G11" s="69"/>
    </row>
    <row r="12" spans="2:7" ht="12.75">
      <c r="B12" s="68" t="s">
        <v>8</v>
      </c>
      <c r="C12" s="68"/>
      <c r="D12" s="68"/>
      <c r="E12" s="68"/>
      <c r="F12" s="69">
        <f>SUM(F6:F11)</f>
        <v>4705526.26</v>
      </c>
      <c r="G12" s="69"/>
    </row>
    <row r="14" spans="1:3" ht="17.25">
      <c r="A14" s="66" t="s">
        <v>9</v>
      </c>
      <c r="B14" s="66"/>
      <c r="C14" s="66"/>
    </row>
    <row r="16" spans="1:11" ht="12.75">
      <c r="A16">
        <v>1</v>
      </c>
      <c r="B16" s="67" t="s">
        <v>10</v>
      </c>
      <c r="C16" s="67"/>
      <c r="D16" s="67"/>
      <c r="E16" s="67"/>
      <c r="F16" s="69">
        <v>877337</v>
      </c>
      <c r="G16" s="69"/>
      <c r="J16" s="3">
        <f>54500+54562+1500+3000+55000+6865+65300+65300+65300+69000+65600+65600+65600+65600+65600+64510</f>
        <v>832837</v>
      </c>
      <c r="K16" s="4">
        <f>F16-J16</f>
        <v>44500</v>
      </c>
    </row>
    <row r="17" spans="1:11" ht="12.75">
      <c r="A17">
        <v>2</v>
      </c>
      <c r="B17" s="67" t="s">
        <v>11</v>
      </c>
      <c r="C17" s="67"/>
      <c r="D17" s="67"/>
      <c r="E17" s="67"/>
      <c r="F17" s="69">
        <v>246273.18</v>
      </c>
      <c r="G17" s="69"/>
      <c r="J17" s="3">
        <f>94595+7106.5+2179+3258+15036+20048</f>
        <v>142222.5</v>
      </c>
      <c r="K17" t="s">
        <v>30</v>
      </c>
    </row>
    <row r="18" spans="1:12" ht="12.75">
      <c r="A18">
        <v>3</v>
      </c>
      <c r="B18" s="67" t="s">
        <v>12</v>
      </c>
      <c r="C18" s="67"/>
      <c r="D18" s="67"/>
      <c r="E18" s="67"/>
      <c r="F18" s="69">
        <v>114054</v>
      </c>
      <c r="G18" s="69"/>
      <c r="K18">
        <v>7107</v>
      </c>
      <c r="L18">
        <v>501</v>
      </c>
    </row>
    <row r="19" spans="1:7" ht="12.75">
      <c r="A19">
        <v>4</v>
      </c>
      <c r="B19" s="68" t="s">
        <v>13</v>
      </c>
      <c r="C19" s="68"/>
      <c r="D19" s="68"/>
      <c r="E19" s="68"/>
      <c r="F19" s="69">
        <v>66893.1</v>
      </c>
      <c r="G19" s="69"/>
    </row>
    <row r="20" spans="1:10" ht="12.75">
      <c r="A20">
        <v>5</v>
      </c>
      <c r="B20" s="68" t="s">
        <v>14</v>
      </c>
      <c r="C20" s="68"/>
      <c r="D20" s="68"/>
      <c r="E20" s="68"/>
      <c r="F20" s="69">
        <v>78207.25</v>
      </c>
      <c r="G20" s="69"/>
      <c r="J20" s="3">
        <f>5852.16+6427.56</f>
        <v>12279.720000000001</v>
      </c>
    </row>
    <row r="21" spans="1:10" ht="12.75">
      <c r="A21">
        <v>6</v>
      </c>
      <c r="B21" s="68" t="s">
        <v>15</v>
      </c>
      <c r="C21" s="68"/>
      <c r="D21" s="68"/>
      <c r="E21" s="68"/>
      <c r="F21" s="69">
        <v>8923.32</v>
      </c>
      <c r="G21" s="69"/>
      <c r="J21" s="3">
        <f>119.24+1201.07+69.61+698.6+27.91</f>
        <v>2116.43</v>
      </c>
    </row>
    <row r="22" spans="1:10" ht="12.75">
      <c r="A22">
        <v>7</v>
      </c>
      <c r="B22" s="68" t="s">
        <v>16</v>
      </c>
      <c r="C22" s="68"/>
      <c r="D22" s="68"/>
      <c r="E22" s="68"/>
      <c r="F22" s="69">
        <v>53755</v>
      </c>
      <c r="G22" s="69"/>
      <c r="J22" s="3">
        <f>50+15+65+1640+15+1000+1390+115+100+80+1900+20+1000+30+1580+65+100+2000+115+1000</f>
        <v>12280</v>
      </c>
    </row>
    <row r="23" spans="1:10" ht="12.75">
      <c r="A23">
        <v>8</v>
      </c>
      <c r="B23" s="68" t="s">
        <v>17</v>
      </c>
      <c r="C23" s="68"/>
      <c r="D23" s="68"/>
      <c r="E23" s="68"/>
      <c r="F23" s="69">
        <f>1600+2500+3000+250+1000+4250+270+2000+7000+3000+205207.56</f>
        <v>230077.56</v>
      </c>
      <c r="G23" s="69"/>
      <c r="H23">
        <v>205207.56</v>
      </c>
      <c r="J23" s="3">
        <f>2000+2870</f>
        <v>4870</v>
      </c>
    </row>
    <row r="24" spans="1:10" ht="12.75">
      <c r="A24">
        <v>9</v>
      </c>
      <c r="B24" s="68" t="s">
        <v>18</v>
      </c>
      <c r="C24" s="68"/>
      <c r="D24" s="68"/>
      <c r="E24" s="68"/>
      <c r="F24" s="67">
        <f>55477.2+270+8444.25+3500+2250+6684.21+664.3+500+809+2201.45+1770+11156+6000+22880+3508.78+2345+432.25+2000</f>
        <v>130892.44</v>
      </c>
      <c r="G24" s="67"/>
      <c r="J24" s="3">
        <f>31.45+850+500+1300+920+20880+2770+3508.78</f>
        <v>30760.23</v>
      </c>
    </row>
    <row r="25" spans="1:10" ht="12.75">
      <c r="A25">
        <v>10</v>
      </c>
      <c r="B25" s="68" t="s">
        <v>19</v>
      </c>
      <c r="C25" s="68"/>
      <c r="D25" s="68"/>
      <c r="E25" s="68"/>
      <c r="F25" s="67">
        <f>22500+365000+85000+20000+9600</f>
        <v>502100</v>
      </c>
      <c r="G25" s="67"/>
      <c r="J25" s="3">
        <f>1000+4250+15000+2500+20000+75000+85000+7000+150000+500+80000+60000+20000+9600-375000+13000+4200+2000+14000+5000+3300+2000+2000</f>
        <v>200350</v>
      </c>
    </row>
    <row r="26" spans="1:10" ht="12.75">
      <c r="A26">
        <v>11</v>
      </c>
      <c r="B26" s="68" t="s">
        <v>20</v>
      </c>
      <c r="C26" s="68"/>
      <c r="D26" s="68"/>
      <c r="E26" s="68"/>
      <c r="F26" s="67">
        <f>571612</f>
        <v>571612</v>
      </c>
      <c r="G26" s="67"/>
      <c r="J26" s="3">
        <f>4000</f>
        <v>4000</v>
      </c>
    </row>
    <row r="27" spans="1:10" ht="12.75">
      <c r="A27">
        <v>12</v>
      </c>
      <c r="B27" s="68" t="s">
        <v>21</v>
      </c>
      <c r="C27" s="68"/>
      <c r="D27" s="68"/>
      <c r="E27" s="68"/>
      <c r="F27" s="69">
        <v>46684.6</v>
      </c>
      <c r="G27" s="69"/>
      <c r="J27" s="3">
        <f>1550.05+1550.05+1550.05</f>
        <v>4650.15</v>
      </c>
    </row>
    <row r="28" spans="1:7" ht="12.75">
      <c r="A28">
        <v>13</v>
      </c>
      <c r="B28" s="68" t="s">
        <v>22</v>
      </c>
      <c r="C28" s="68"/>
      <c r="D28" s="68"/>
      <c r="E28" s="68"/>
      <c r="F28" s="67"/>
      <c r="G28" s="67"/>
    </row>
    <row r="29" spans="1:10" ht="12.75">
      <c r="A29">
        <v>14</v>
      </c>
      <c r="B29" s="68" t="s">
        <v>23</v>
      </c>
      <c r="C29" s="68"/>
      <c r="D29" s="68"/>
      <c r="E29" s="68"/>
      <c r="F29" s="69">
        <v>250000</v>
      </c>
      <c r="G29" s="69"/>
      <c r="J29" s="3">
        <f>100000+100000+50000</f>
        <v>250000</v>
      </c>
    </row>
    <row r="30" spans="1:10" ht="12.75">
      <c r="A30">
        <v>15</v>
      </c>
      <c r="B30" s="68" t="s">
        <v>24</v>
      </c>
      <c r="C30" s="68"/>
      <c r="D30" s="68"/>
      <c r="E30" s="68"/>
      <c r="F30" s="67"/>
      <c r="G30" s="67"/>
      <c r="J30" s="3">
        <f>3000</f>
        <v>3000</v>
      </c>
    </row>
    <row r="31" spans="1:10" ht="12.75">
      <c r="A31">
        <v>16</v>
      </c>
      <c r="B31" s="68" t="s">
        <v>25</v>
      </c>
      <c r="C31" s="68"/>
      <c r="D31" s="68"/>
      <c r="E31" s="68"/>
      <c r="F31" s="67">
        <f>17000</f>
        <v>17000</v>
      </c>
      <c r="G31" s="67"/>
      <c r="J31" s="3">
        <f>17000</f>
        <v>17000</v>
      </c>
    </row>
    <row r="32" spans="1:10" ht="12.75">
      <c r="A32">
        <v>17</v>
      </c>
      <c r="B32" s="68" t="s">
        <v>26</v>
      </c>
      <c r="C32" s="68"/>
      <c r="D32" s="68"/>
      <c r="E32" s="68"/>
      <c r="F32" s="69">
        <v>270000</v>
      </c>
      <c r="G32" s="69"/>
      <c r="J32" s="3">
        <f>45000</f>
        <v>45000</v>
      </c>
    </row>
    <row r="33" spans="2:10" ht="12.75">
      <c r="B33" s="1" t="s">
        <v>28</v>
      </c>
      <c r="C33" s="1"/>
      <c r="D33" s="1"/>
      <c r="E33" s="1"/>
      <c r="F33" s="2"/>
      <c r="G33" s="2"/>
      <c r="J33" s="3">
        <v>35000</v>
      </c>
    </row>
    <row r="34" spans="2:10" ht="12.75">
      <c r="B34" s="1" t="s">
        <v>29</v>
      </c>
      <c r="C34" s="1"/>
      <c r="D34" s="1"/>
      <c r="E34" s="1"/>
      <c r="F34" s="2"/>
      <c r="G34" s="2"/>
      <c r="J34" s="3">
        <f>375000</f>
        <v>375000</v>
      </c>
    </row>
    <row r="35" spans="2:7" ht="12.75">
      <c r="B35" s="68" t="s">
        <v>8</v>
      </c>
      <c r="C35" s="68"/>
      <c r="D35" s="68"/>
      <c r="E35" s="68"/>
      <c r="F35" s="69">
        <f>SUM(F16:F32)</f>
        <v>3463809.45</v>
      </c>
      <c r="G35" s="67"/>
    </row>
  </sheetData>
  <mergeCells count="53">
    <mergeCell ref="B35:E35"/>
    <mergeCell ref="F23:G23"/>
    <mergeCell ref="F24:G24"/>
    <mergeCell ref="F25:G25"/>
    <mergeCell ref="F26:G26"/>
    <mergeCell ref="F28:G28"/>
    <mergeCell ref="F29:G29"/>
    <mergeCell ref="F30:G30"/>
    <mergeCell ref="F31:G31"/>
    <mergeCell ref="F35:G35"/>
    <mergeCell ref="F10:G10"/>
    <mergeCell ref="F12:G12"/>
    <mergeCell ref="F27:G27"/>
    <mergeCell ref="F32:G32"/>
    <mergeCell ref="F11:G11"/>
    <mergeCell ref="F9:G9"/>
    <mergeCell ref="F6:G6"/>
    <mergeCell ref="F7:G7"/>
    <mergeCell ref="F8:G8"/>
    <mergeCell ref="B30:E30"/>
    <mergeCell ref="B31:E31"/>
    <mergeCell ref="B32:E32"/>
    <mergeCell ref="F16:G16"/>
    <mergeCell ref="F18:G18"/>
    <mergeCell ref="F17:G17"/>
    <mergeCell ref="F19:G19"/>
    <mergeCell ref="F20:G20"/>
    <mergeCell ref="F21:G21"/>
    <mergeCell ref="F22:G22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2:E12"/>
    <mergeCell ref="A14:C14"/>
    <mergeCell ref="B16:E16"/>
    <mergeCell ref="B17:E17"/>
    <mergeCell ref="B7:E7"/>
    <mergeCell ref="B8:E8"/>
    <mergeCell ref="B9:E9"/>
    <mergeCell ref="B10:E10"/>
    <mergeCell ref="A1:J1"/>
    <mergeCell ref="A2:K2"/>
    <mergeCell ref="A4:C4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3"/>
  <sheetViews>
    <sheetView workbookViewId="0" topLeftCell="A1">
      <selection activeCell="X2" sqref="X2"/>
    </sheetView>
  </sheetViews>
  <sheetFormatPr defaultColWidth="9.00390625" defaultRowHeight="12.75"/>
  <cols>
    <col min="5" max="5" width="15.875" style="0" customWidth="1"/>
    <col min="6" max="6" width="8.875" style="8" customWidth="1"/>
    <col min="7" max="7" width="9.50390625" style="8" bestFit="1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8.875" style="0" hidden="1" customWidth="1"/>
    <col min="13" max="13" width="9.75390625" style="0" hidden="1" customWidth="1"/>
    <col min="14" max="14" width="10.50390625" style="0" hidden="1" customWidth="1"/>
    <col min="15" max="15" width="9.50390625" style="0" hidden="1" customWidth="1"/>
    <col min="16" max="16" width="9.625" style="0" hidden="1" customWidth="1"/>
    <col min="17" max="18" width="9.50390625" style="0" hidden="1" customWidth="1"/>
    <col min="19" max="19" width="8.875" style="0" hidden="1" customWidth="1"/>
    <col min="20" max="20" width="14.00390625" style="11" customWidth="1"/>
    <col min="21" max="21" width="10.625" style="13" customWidth="1"/>
    <col min="24" max="24" width="10.50390625" style="0" bestFit="1" customWidth="1"/>
  </cols>
  <sheetData>
    <row r="2" ht="19.5" customHeight="1">
      <c r="B2" s="7" t="s">
        <v>56</v>
      </c>
    </row>
    <row r="3" spans="2:3" ht="22.5" customHeight="1">
      <c r="B3" s="5"/>
      <c r="C3" s="7" t="s">
        <v>101</v>
      </c>
    </row>
    <row r="5" spans="1:6" ht="12.75">
      <c r="A5" t="s">
        <v>31</v>
      </c>
      <c r="F5" s="8" t="s">
        <v>32</v>
      </c>
    </row>
    <row r="6" spans="1:6" ht="12.75">
      <c r="A6" t="s">
        <v>33</v>
      </c>
      <c r="F6" s="8" t="s">
        <v>34</v>
      </c>
    </row>
    <row r="7" spans="1:6" ht="12.75">
      <c r="A7" t="s">
        <v>40</v>
      </c>
      <c r="F7" s="8" t="s">
        <v>35</v>
      </c>
    </row>
    <row r="8" spans="6:24" ht="12.75">
      <c r="F8" s="8" t="s">
        <v>36</v>
      </c>
      <c r="X8" s="4">
        <f>T17+T20+T21</f>
        <v>1185006.45</v>
      </c>
    </row>
    <row r="9" spans="6:25" ht="12.75">
      <c r="F9" s="8" t="s">
        <v>37</v>
      </c>
      <c r="G9" s="8" t="s">
        <v>38</v>
      </c>
      <c r="X9">
        <f>52992+18000+300+125419.8+5748+2008+1035</f>
        <v>205502.8</v>
      </c>
      <c r="Y9">
        <f>360000+207040+8720.41+8509+20056+30000+21444.67+2787.81+7334</f>
        <v>665891.8900000001</v>
      </c>
    </row>
    <row r="10" ht="12.75">
      <c r="A10" s="6" t="s">
        <v>39</v>
      </c>
    </row>
    <row r="11" ht="12.75" hidden="1"/>
    <row r="12" spans="1:10" ht="21">
      <c r="A12" s="78" t="s">
        <v>0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1" ht="15">
      <c r="A13" s="79" t="s">
        <v>130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ht="3" customHeight="1">
      <c r="J14" s="3"/>
    </row>
    <row r="15" spans="1:20" ht="14.25" customHeight="1">
      <c r="A15" s="77" t="s">
        <v>2</v>
      </c>
      <c r="B15" s="77"/>
      <c r="C15" s="77"/>
      <c r="D15" s="15"/>
      <c r="E15" s="15"/>
      <c r="F15" s="16"/>
      <c r="G15" s="16" t="s">
        <v>105</v>
      </c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0" ht="9" customHeight="1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1" ht="12.75">
      <c r="A17" s="15">
        <v>1</v>
      </c>
      <c r="B17" s="76" t="s">
        <v>3</v>
      </c>
      <c r="C17" s="76"/>
      <c r="D17" s="76"/>
      <c r="E17" s="76"/>
      <c r="F17" s="71">
        <v>1153560</v>
      </c>
      <c r="G17" s="71"/>
      <c r="H17" s="15">
        <f>5430+3000+14000+4800+54400+2500+4500</f>
        <v>88630</v>
      </c>
      <c r="I17" s="15">
        <f>14000+3000+4800+54400+5430+15000+2500+4500</f>
        <v>103630</v>
      </c>
      <c r="J17" s="17">
        <f>54400+14000+5430+3000+2500+4500</f>
        <v>83830</v>
      </c>
      <c r="K17" s="15">
        <f>14000+54400+4800+3000+15000+5430+4500</f>
        <v>101130</v>
      </c>
      <c r="L17" s="15">
        <f>54400+14000+3000+5430+4800+2500+4500</f>
        <v>88630</v>
      </c>
      <c r="M17" s="15">
        <f>14000+3000+54400+5430+15000+2500+4500</f>
        <v>98830</v>
      </c>
      <c r="N17" s="15">
        <f>14000+5430+3000+9600+54400+4800+14000+4500</f>
        <v>109730</v>
      </c>
      <c r="O17" s="15">
        <f>54400+3000+15000+5430+2500+4500</f>
        <v>84830</v>
      </c>
      <c r="P17" s="15">
        <f>54400+3000+5430+14000+4800+2500+4500</f>
        <v>88630</v>
      </c>
      <c r="Q17" s="15">
        <f>54400+3000+14000+9930+4800+15000+2500</f>
        <v>103630</v>
      </c>
      <c r="R17" s="15">
        <f>4800+3000+54400+14000+9930+2500</f>
        <v>88630</v>
      </c>
      <c r="S17" s="15">
        <f>3000+4800+54400+14000+15000+9930+14000</f>
        <v>115130</v>
      </c>
      <c r="T17" s="31">
        <f>H17+I17+J17+K17+L17+M17+N17+O17+P17+Q17+R17+S17</f>
        <v>1155260</v>
      </c>
      <c r="U17" s="36">
        <f>F17-T17</f>
        <v>-1700</v>
      </c>
    </row>
    <row r="18" spans="1:21" ht="12.75">
      <c r="A18" s="15">
        <v>2</v>
      </c>
      <c r="B18" s="76" t="s">
        <v>4</v>
      </c>
      <c r="C18" s="76"/>
      <c r="D18" s="76"/>
      <c r="E18" s="76"/>
      <c r="F18" s="71">
        <v>1521893</v>
      </c>
      <c r="G18" s="71"/>
      <c r="H18" s="15">
        <f>15072.95+74552.37</f>
        <v>89625.31999999999</v>
      </c>
      <c r="I18" s="15">
        <f>23923.96+89255.23</f>
        <v>113179.19</v>
      </c>
      <c r="J18" s="17">
        <f>18285.51+126337.63</f>
        <v>144623.14</v>
      </c>
      <c r="K18" s="15">
        <f>18151.18+91083.13</f>
        <v>109234.31</v>
      </c>
      <c r="L18" s="15">
        <f>19032.85+90270.88</f>
        <v>109303.73000000001</v>
      </c>
      <c r="M18" s="15">
        <f>14878.34+107571.71</f>
        <v>122450.05</v>
      </c>
      <c r="N18" s="15">
        <f>17768.88+96621.78</f>
        <v>114390.66</v>
      </c>
      <c r="O18" s="15">
        <f>16960.95+114871.75</f>
        <v>131832.7</v>
      </c>
      <c r="P18" s="15">
        <f>14505.87+106985.73</f>
        <v>121491.59999999999</v>
      </c>
      <c r="Q18" s="15">
        <f>17338.08+116367.67</f>
        <v>133705.75</v>
      </c>
      <c r="R18" s="15">
        <f>19239.79+119685.74</f>
        <v>138925.53</v>
      </c>
      <c r="S18" s="15">
        <f>17086.12+112223.12+118186.33</f>
        <v>247495.57</v>
      </c>
      <c r="T18" s="31">
        <f>H18+I18+J18+K18+L18+M18+N18+O18+P18+Q18+R18+S18</f>
        <v>1576257.5500000003</v>
      </c>
      <c r="U18" s="36">
        <f>F18-T18</f>
        <v>-54364.55000000028</v>
      </c>
    </row>
    <row r="19" spans="1:21" ht="12.75">
      <c r="A19" s="15">
        <v>3</v>
      </c>
      <c r="B19" s="76" t="s">
        <v>5</v>
      </c>
      <c r="C19" s="76"/>
      <c r="D19" s="76"/>
      <c r="E19" s="76"/>
      <c r="F19" s="71">
        <v>217060</v>
      </c>
      <c r="G19" s="71"/>
      <c r="H19" s="15">
        <f>13126.39</f>
        <v>13126.39</v>
      </c>
      <c r="I19" s="15">
        <v>14473.12</v>
      </c>
      <c r="J19" s="17">
        <v>19996.08</v>
      </c>
      <c r="K19" s="15">
        <v>15715.02</v>
      </c>
      <c r="L19" s="15">
        <v>16372.55</v>
      </c>
      <c r="M19" s="15">
        <v>17714.58</v>
      </c>
      <c r="N19" s="15">
        <v>15860.27</v>
      </c>
      <c r="O19" s="15">
        <v>18794.45</v>
      </c>
      <c r="P19" s="15">
        <v>17567.89</v>
      </c>
      <c r="Q19" s="15">
        <v>18919.11</v>
      </c>
      <c r="R19" s="15">
        <v>19807.36</v>
      </c>
      <c r="S19" s="15">
        <f>18360.01+1250.27</f>
        <v>19610.28</v>
      </c>
      <c r="T19" s="31">
        <f>H19+I19+J19+K19+L19+M19+N19+O19+P19+Q19+R19+S19</f>
        <v>207957.1</v>
      </c>
      <c r="U19" s="36">
        <f>F19-T19</f>
        <v>9102.899999999994</v>
      </c>
    </row>
    <row r="20" spans="1:21" ht="12.75">
      <c r="A20" s="15">
        <v>4</v>
      </c>
      <c r="B20" s="19" t="s">
        <v>43</v>
      </c>
      <c r="C20" s="19"/>
      <c r="D20" s="19"/>
      <c r="E20" s="19"/>
      <c r="F20" s="20"/>
      <c r="G20" s="20">
        <f>53036</f>
        <v>53036</v>
      </c>
      <c r="H20" s="15">
        <f>552+700</f>
        <v>1252</v>
      </c>
      <c r="I20" s="15">
        <f>392.1</f>
        <v>392.1</v>
      </c>
      <c r="J20" s="17">
        <f>2400+1600+371.8+2400</f>
        <v>6771.8</v>
      </c>
      <c r="K20" s="15">
        <f>270.4+304.2+1175</f>
        <v>1749.6</v>
      </c>
      <c r="L20" s="15">
        <f>1600+439.4+2400</f>
        <v>4439.4</v>
      </c>
      <c r="M20" s="15">
        <f>574.6+323</f>
        <v>897.6</v>
      </c>
      <c r="N20" s="15">
        <f>1600+338</f>
        <v>1938</v>
      </c>
      <c r="O20" s="15"/>
      <c r="P20" s="15">
        <f>503.62</f>
        <v>503.62</v>
      </c>
      <c r="Q20" s="15">
        <f>405.6+3200+338</f>
        <v>3943.6</v>
      </c>
      <c r="R20" s="15">
        <f>338</f>
        <v>338</v>
      </c>
      <c r="S20" s="15">
        <f>155.48</f>
        <v>155.48</v>
      </c>
      <c r="T20" s="31">
        <f>H20+I20+J20+K20+L20+M20+N20+O20+P20+Q20+R20+S20</f>
        <v>22381.199999999997</v>
      </c>
      <c r="U20" s="36">
        <f>G20-T20</f>
        <v>30654.800000000003</v>
      </c>
    </row>
    <row r="21" spans="1:21" ht="12.75">
      <c r="A21" s="15">
        <v>5</v>
      </c>
      <c r="B21" s="70" t="s">
        <v>6</v>
      </c>
      <c r="C21" s="70"/>
      <c r="D21" s="70"/>
      <c r="E21" s="70"/>
      <c r="F21" s="71">
        <v>10000</v>
      </c>
      <c r="G21" s="71"/>
      <c r="H21" s="15">
        <f>929.78</f>
        <v>929.78</v>
      </c>
      <c r="I21" s="15">
        <v>945.11</v>
      </c>
      <c r="J21" s="17">
        <f>745.91</f>
        <v>745.91</v>
      </c>
      <c r="K21" s="15">
        <v>815.53</v>
      </c>
      <c r="L21" s="15">
        <v>727.4</v>
      </c>
      <c r="M21" s="15">
        <v>650.69</v>
      </c>
      <c r="N21" s="15">
        <v>551.01</v>
      </c>
      <c r="O21" s="15">
        <v>490.16</v>
      </c>
      <c r="P21" s="15">
        <v>478.96</v>
      </c>
      <c r="Q21" s="15"/>
      <c r="R21" s="15">
        <v>486.29</v>
      </c>
      <c r="S21" s="15">
        <v>544.41</v>
      </c>
      <c r="T21" s="31">
        <f>H21+I21+J21+K21+L21+M21+N21+O21+P21+Q21+R21+S21</f>
        <v>7365.25</v>
      </c>
      <c r="U21" s="36">
        <f>F21-T21</f>
        <v>2634.75</v>
      </c>
    </row>
    <row r="22" spans="1:21" ht="12.75">
      <c r="A22" s="15">
        <v>6</v>
      </c>
      <c r="B22" s="70" t="s">
        <v>41</v>
      </c>
      <c r="C22" s="70"/>
      <c r="D22" s="70"/>
      <c r="E22" s="70"/>
      <c r="F22" s="71">
        <v>903.14</v>
      </c>
      <c r="G22" s="71"/>
      <c r="H22" s="15"/>
      <c r="I22" s="15"/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31">
        <v>903.14</v>
      </c>
      <c r="U22" s="36"/>
    </row>
    <row r="23" spans="1:21" ht="12.75">
      <c r="A23" s="15">
        <v>7</v>
      </c>
      <c r="B23" s="21" t="s">
        <v>42</v>
      </c>
      <c r="C23" s="21"/>
      <c r="D23" s="21"/>
      <c r="E23" s="21"/>
      <c r="F23" s="71">
        <v>2290973.55</v>
      </c>
      <c r="G23" s="71"/>
      <c r="H23" s="15"/>
      <c r="I23" s="15"/>
      <c r="J23" s="22"/>
      <c r="K23" s="15"/>
      <c r="L23" s="15"/>
      <c r="M23" s="15"/>
      <c r="N23" s="15"/>
      <c r="O23" s="15"/>
      <c r="P23" s="15"/>
      <c r="Q23" s="15"/>
      <c r="R23" s="15"/>
      <c r="S23" s="15"/>
      <c r="T23" s="31">
        <v>2290973.55</v>
      </c>
      <c r="U23" s="36" t="s">
        <v>89</v>
      </c>
    </row>
    <row r="24" spans="1:21" ht="12.75">
      <c r="A24" s="15"/>
      <c r="B24" s="72" t="s">
        <v>8</v>
      </c>
      <c r="C24" s="72"/>
      <c r="D24" s="72"/>
      <c r="E24" s="72"/>
      <c r="F24" s="71">
        <f>SUM(F17:F23)</f>
        <v>5194389.6899999995</v>
      </c>
      <c r="G24" s="71"/>
      <c r="H24" s="23">
        <f aca="true" t="shared" si="0" ref="H24:P24">SUM(H17:H23)</f>
        <v>193563.49000000002</v>
      </c>
      <c r="I24" s="23">
        <f t="shared" si="0"/>
        <v>232619.52</v>
      </c>
      <c r="J24" s="23">
        <f t="shared" si="0"/>
        <v>255966.93000000002</v>
      </c>
      <c r="K24" s="23">
        <f t="shared" si="0"/>
        <v>228644.46</v>
      </c>
      <c r="L24" s="23">
        <f t="shared" si="0"/>
        <v>219473.08</v>
      </c>
      <c r="M24" s="23">
        <f t="shared" si="0"/>
        <v>240542.92</v>
      </c>
      <c r="N24" s="23">
        <f t="shared" si="0"/>
        <v>242469.94</v>
      </c>
      <c r="O24" s="23">
        <f t="shared" si="0"/>
        <v>235947.31000000003</v>
      </c>
      <c r="P24" s="23">
        <f t="shared" si="0"/>
        <v>228672.06999999998</v>
      </c>
      <c r="Q24" s="23">
        <f>SUM(Q17:Q23)</f>
        <v>260198.46</v>
      </c>
      <c r="R24" s="23">
        <f>SUM(R17:R23)</f>
        <v>248187.18000000002</v>
      </c>
      <c r="S24" s="23">
        <f>SUM(S17:S23)</f>
        <v>382935.73999999993</v>
      </c>
      <c r="T24" s="31">
        <f>H24+I24+J24+K24+L24+M24+N24+O24+P24+Q24+R24+S24+T23+T22</f>
        <v>5261097.79</v>
      </c>
      <c r="U24" s="36">
        <f>F24-T24</f>
        <v>-66708.10000000056</v>
      </c>
    </row>
    <row r="25" spans="1:21" ht="6" customHeight="1">
      <c r="A25" s="15"/>
      <c r="B25" s="15"/>
      <c r="C25" s="15"/>
      <c r="D25" s="15"/>
      <c r="E25" s="15"/>
      <c r="F25" s="16"/>
      <c r="G25" s="16"/>
      <c r="H25" s="15"/>
      <c r="I25" s="15"/>
      <c r="J25" s="22"/>
      <c r="K25" s="15"/>
      <c r="L25" s="15"/>
      <c r="M25" s="15"/>
      <c r="N25" s="15"/>
      <c r="O25" s="15"/>
      <c r="P25" s="15"/>
      <c r="Q25" s="15"/>
      <c r="R25" s="15"/>
      <c r="S25" s="15"/>
      <c r="T25" s="18"/>
      <c r="U25" s="30"/>
    </row>
    <row r="26" spans="1:21" ht="15" customHeight="1">
      <c r="A26" s="77" t="s">
        <v>9</v>
      </c>
      <c r="B26" s="77"/>
      <c r="C26" s="77"/>
      <c r="D26" s="15"/>
      <c r="E26" s="15"/>
      <c r="F26" s="16"/>
      <c r="G26" s="16"/>
      <c r="H26" s="15" t="s">
        <v>65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</row>
    <row r="27" spans="1:21" ht="8.25" customHeight="1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</row>
    <row r="28" spans="1:21" ht="12.75">
      <c r="A28" s="15">
        <v>1</v>
      </c>
      <c r="B28" s="76" t="s">
        <v>10</v>
      </c>
      <c r="C28" s="76"/>
      <c r="D28" s="76"/>
      <c r="E28" s="76"/>
      <c r="F28" s="71">
        <v>877690</v>
      </c>
      <c r="G28" s="71"/>
      <c r="H28" s="22">
        <f>59600</f>
        <v>59600</v>
      </c>
      <c r="I28" s="22">
        <f>69940</f>
        <v>69940</v>
      </c>
      <c r="J28" s="22">
        <f>4000+3001+64020-15500</f>
        <v>55521</v>
      </c>
      <c r="K28" s="34">
        <f>69240</f>
        <v>69240</v>
      </c>
      <c r="L28" s="22">
        <f>10005+4000+8000+66630+3045-4598-4598</f>
        <v>82484</v>
      </c>
      <c r="M28" s="22">
        <f>7865+66630</f>
        <v>74495</v>
      </c>
      <c r="N28" s="22">
        <f>9307+5454+66917</f>
        <v>81678</v>
      </c>
      <c r="O28" s="22">
        <f>30216+30000+42000+70104-103960</f>
        <v>68360</v>
      </c>
      <c r="P28" s="22">
        <f>9000+72630</f>
        <v>81630</v>
      </c>
      <c r="Q28" s="22">
        <v>72630</v>
      </c>
      <c r="R28" s="22">
        <f>4000+20000+78230-22989</f>
        <v>79241</v>
      </c>
      <c r="S28" s="22">
        <f>10000+70561</f>
        <v>80561</v>
      </c>
      <c r="T28" s="31">
        <f>H28+I28+J28+K28+L28+M28+N28+O28+P28+Q28+R28+S28</f>
        <v>875380</v>
      </c>
      <c r="U28" s="29">
        <f>F28-T28</f>
        <v>2310</v>
      </c>
    </row>
    <row r="29" spans="1:21" ht="12.75">
      <c r="A29" s="15">
        <v>2</v>
      </c>
      <c r="B29" s="19" t="s">
        <v>64</v>
      </c>
      <c r="C29" s="19"/>
      <c r="D29" s="19"/>
      <c r="E29" s="19"/>
      <c r="F29" s="71">
        <v>70000</v>
      </c>
      <c r="G29" s="73"/>
      <c r="H29" s="15"/>
      <c r="I29" s="15"/>
      <c r="J29" s="17">
        <f>15500</f>
        <v>15500</v>
      </c>
      <c r="K29" s="24"/>
      <c r="L29" s="15"/>
      <c r="M29" s="15"/>
      <c r="N29" s="15"/>
      <c r="O29" s="15"/>
      <c r="P29" s="15"/>
      <c r="Q29" s="15"/>
      <c r="R29" s="15"/>
      <c r="S29" s="15"/>
      <c r="T29" s="31">
        <f aca="true" t="shared" si="1" ref="T29:T52">H29+I29+J29+K29+L29+M29+N29+O29+P29+Q29+R29+S29</f>
        <v>15500</v>
      </c>
      <c r="U29" s="29">
        <f>F29-T29</f>
        <v>54500</v>
      </c>
    </row>
    <row r="30" spans="1:21" ht="12.75">
      <c r="A30" s="15">
        <f>A29+1</f>
        <v>3</v>
      </c>
      <c r="B30" s="76" t="s">
        <v>11</v>
      </c>
      <c r="C30" s="76"/>
      <c r="D30" s="76"/>
      <c r="E30" s="76"/>
      <c r="F30" s="71">
        <v>324110</v>
      </c>
      <c r="G30" s="71"/>
      <c r="H30" s="22">
        <f>1252+1788+14168+5200</f>
        <v>22408</v>
      </c>
      <c r="I30" s="22">
        <f>596+0.7+8.3+52.9+756+803+2168+16663</f>
        <v>21047.9</v>
      </c>
      <c r="J30" s="22">
        <f>630+1429+1509+2215+17073</f>
        <v>22856</v>
      </c>
      <c r="K30" s="22">
        <f>1400+1410+2030+2171+16795</f>
        <v>23806</v>
      </c>
      <c r="L30" s="22">
        <f>1862+2700+2887+22800+1410</f>
        <v>31659</v>
      </c>
      <c r="M30" s="22">
        <f>70+102+108+911+1027+1295+1410+1553+12102</f>
        <v>18578</v>
      </c>
      <c r="N30" s="22">
        <f>1539+1890+2248.54+2283+18133</f>
        <v>26093.54</v>
      </c>
      <c r="O30" s="22">
        <f>3340+4864+5078+7151+36320-7192.32</f>
        <v>49560.68</v>
      </c>
      <c r="P30" s="22">
        <f>1563+1780+2288+2324+18601</f>
        <v>26556</v>
      </c>
      <c r="Q30" s="22">
        <f>1355+1769+1987+2002+15910</f>
        <v>23023</v>
      </c>
      <c r="R30" s="22">
        <f>1770+1918+2802+2874+23215</f>
        <v>32579</v>
      </c>
      <c r="S30" s="22">
        <f>1518+1770+2221+2256+18010</f>
        <v>25775</v>
      </c>
      <c r="T30" s="31">
        <f t="shared" si="1"/>
        <v>323942.12</v>
      </c>
      <c r="U30" s="29">
        <f aca="true" t="shared" si="2" ref="U30:U51">F30-T30</f>
        <v>167.88000000000466</v>
      </c>
    </row>
    <row r="31" spans="1:21" ht="12.75">
      <c r="A31" s="15">
        <f aca="true" t="shared" si="3" ref="A31:A51">A30+1</f>
        <v>4</v>
      </c>
      <c r="B31" s="76" t="s">
        <v>12</v>
      </c>
      <c r="C31" s="76"/>
      <c r="D31" s="76"/>
      <c r="E31" s="76"/>
      <c r="F31" s="71">
        <v>104746</v>
      </c>
      <c r="G31" s="71"/>
      <c r="H31" s="22">
        <v>7748</v>
      </c>
      <c r="I31" s="22">
        <v>9092</v>
      </c>
      <c r="J31" s="22">
        <v>9291</v>
      </c>
      <c r="K31" s="22">
        <v>9103</v>
      </c>
      <c r="L31" s="22">
        <v>12105</v>
      </c>
      <c r="M31" s="22">
        <v>8713</v>
      </c>
      <c r="N31" s="22">
        <v>10669</v>
      </c>
      <c r="O31" s="22">
        <f>22387-28362</f>
        <v>-5975</v>
      </c>
      <c r="P31" s="22">
        <v>10838</v>
      </c>
      <c r="Q31" s="22">
        <v>9493</v>
      </c>
      <c r="R31" s="22">
        <v>13145</v>
      </c>
      <c r="S31" s="22">
        <v>10524</v>
      </c>
      <c r="T31" s="31">
        <f t="shared" si="1"/>
        <v>104746</v>
      </c>
      <c r="U31" s="29">
        <f t="shared" si="2"/>
        <v>0</v>
      </c>
    </row>
    <row r="32" spans="1:21" ht="12.75">
      <c r="A32" s="15">
        <f t="shared" si="3"/>
        <v>5</v>
      </c>
      <c r="B32" s="70" t="s">
        <v>76</v>
      </c>
      <c r="C32" s="70"/>
      <c r="D32" s="70"/>
      <c r="E32" s="70"/>
      <c r="F32" s="71">
        <v>176806</v>
      </c>
      <c r="G32" s="71"/>
      <c r="H32" s="15"/>
      <c r="I32" s="15"/>
      <c r="J32" s="22">
        <v>15148</v>
      </c>
      <c r="K32" s="22">
        <v>18500</v>
      </c>
      <c r="L32" s="15"/>
      <c r="M32" s="15"/>
      <c r="N32" s="15"/>
      <c r="O32" s="15"/>
      <c r="P32" s="15"/>
      <c r="Q32" s="15"/>
      <c r="R32" s="15"/>
      <c r="S32" s="15"/>
      <c r="T32" s="31">
        <f t="shared" si="1"/>
        <v>33648</v>
      </c>
      <c r="U32" s="29">
        <f t="shared" si="2"/>
        <v>143158</v>
      </c>
    </row>
    <row r="33" spans="1:21" ht="12.75">
      <c r="A33" s="15">
        <f t="shared" si="3"/>
        <v>6</v>
      </c>
      <c r="B33" s="70" t="s">
        <v>14</v>
      </c>
      <c r="C33" s="70"/>
      <c r="D33" s="70"/>
      <c r="E33" s="70"/>
      <c r="F33" s="71">
        <v>80000</v>
      </c>
      <c r="G33" s="71"/>
      <c r="H33" s="15"/>
      <c r="I33" s="15"/>
      <c r="J33" s="17"/>
      <c r="K33" s="22">
        <f>6056.96</f>
        <v>6056.96</v>
      </c>
      <c r="L33" s="22">
        <v>5195.06</v>
      </c>
      <c r="M33" s="22">
        <v>10900</v>
      </c>
      <c r="N33" s="22">
        <v>4346.71</v>
      </c>
      <c r="O33" s="22">
        <f>4600+3800</f>
        <v>8400</v>
      </c>
      <c r="P33" s="22">
        <v>5138.3</v>
      </c>
      <c r="Q33" s="22">
        <v>5103.73</v>
      </c>
      <c r="R33" s="22">
        <v>3728.14</v>
      </c>
      <c r="S33" s="22">
        <v>6665.36</v>
      </c>
      <c r="T33" s="31">
        <f t="shared" si="1"/>
        <v>55534.259999999995</v>
      </c>
      <c r="U33" s="29">
        <f t="shared" si="2"/>
        <v>24465.740000000005</v>
      </c>
    </row>
    <row r="34" spans="1:21" ht="12.75">
      <c r="A34" s="15">
        <f t="shared" si="3"/>
        <v>7</v>
      </c>
      <c r="B34" s="70" t="s">
        <v>15</v>
      </c>
      <c r="C34" s="70"/>
      <c r="D34" s="70"/>
      <c r="E34" s="70"/>
      <c r="F34" s="71">
        <v>10000</v>
      </c>
      <c r="G34" s="71"/>
      <c r="H34" s="22">
        <f>615.37+53.86</f>
        <v>669.23</v>
      </c>
      <c r="I34" s="22">
        <f>673.54+50.16</f>
        <v>723.6999999999999</v>
      </c>
      <c r="J34" s="22">
        <f>83.86</f>
        <v>83.86</v>
      </c>
      <c r="K34" s="22">
        <f>656.67+649.06+72.74</f>
        <v>1378.47</v>
      </c>
      <c r="L34" s="22">
        <f>69.66+731.44</f>
        <v>801.1</v>
      </c>
      <c r="M34" s="22">
        <f>66.04+631.3</f>
        <v>697.3399999999999</v>
      </c>
      <c r="N34" s="22">
        <f>89.76+669.36</f>
        <v>759.12</v>
      </c>
      <c r="O34" s="22">
        <f>91.6+633.84</f>
        <v>725.44</v>
      </c>
      <c r="P34" s="22">
        <f>676.97</f>
        <v>676.97</v>
      </c>
      <c r="Q34" s="22">
        <f>49.99+643.99</f>
        <v>693.98</v>
      </c>
      <c r="R34" s="22">
        <f>100.43+656.67</f>
        <v>757.0999999999999</v>
      </c>
      <c r="S34" s="22">
        <f>107.58+646.52</f>
        <v>754.1</v>
      </c>
      <c r="T34" s="31">
        <f t="shared" si="1"/>
        <v>8720.410000000002</v>
      </c>
      <c r="U34" s="29">
        <f t="shared" si="2"/>
        <v>1279.5899999999983</v>
      </c>
    </row>
    <row r="35" spans="1:21" ht="12.75">
      <c r="A35" s="15">
        <f t="shared" si="3"/>
        <v>8</v>
      </c>
      <c r="B35" s="70" t="s">
        <v>16</v>
      </c>
      <c r="C35" s="70"/>
      <c r="D35" s="70"/>
      <c r="E35" s="70"/>
      <c r="F35" s="71">
        <v>55000</v>
      </c>
      <c r="G35" s="71"/>
      <c r="H35" s="22">
        <f>1250+95+15+1600+50+50+1000</f>
        <v>4060</v>
      </c>
      <c r="I35" s="22">
        <f>50+30+2100+50+15+1000+1800+65+1000</f>
        <v>6110</v>
      </c>
      <c r="J35" s="22">
        <f>115+650+15+1250+65+1450+50+50+1300+1400+1000</f>
        <v>7345</v>
      </c>
      <c r="K35" s="22">
        <f>95+1200+65+50+100+65+1000+850+15+65+700+1000</f>
        <v>5205</v>
      </c>
      <c r="L35" s="22">
        <f>65+1000+15+65+30+1000+1000</f>
        <v>3175</v>
      </c>
      <c r="M35" s="22">
        <f>50+50+115+1300+15+800+50+30+65+950+50+1250+50+100+900+65+1000</f>
        <v>6840</v>
      </c>
      <c r="N35" s="22">
        <f>65+130+1000+15+50+1450+50+95+100+600+1000</f>
        <v>4555</v>
      </c>
      <c r="O35" s="22">
        <f>15+700+750+1150+175+130+800+165+850+1000</f>
        <v>5735</v>
      </c>
      <c r="P35" s="22">
        <f>15.3+84.7+91.52+300+508.48+115+650+15+1350+100+30+1000+65+1200+100+30+1000</f>
        <v>6655</v>
      </c>
      <c r="Q35" s="22">
        <f>15+1100+50+65+1500+15+30+1150+65+800+200+1000+1400</f>
        <v>7390</v>
      </c>
      <c r="R35" s="22">
        <f>15+130+1300+30+700+80+850+700+50+1100+1000</f>
        <v>5955</v>
      </c>
      <c r="S35" s="22">
        <f>45+750+150+1000+15+1100+130+165+1000+1000</f>
        <v>5355</v>
      </c>
      <c r="T35" s="31">
        <f t="shared" si="1"/>
        <v>68380</v>
      </c>
      <c r="U35" s="29">
        <f t="shared" si="2"/>
        <v>-13380</v>
      </c>
    </row>
    <row r="36" spans="1:21" ht="12.75">
      <c r="A36" s="15">
        <f t="shared" si="3"/>
        <v>9</v>
      </c>
      <c r="B36" s="70" t="s">
        <v>44</v>
      </c>
      <c r="C36" s="70"/>
      <c r="D36" s="70"/>
      <c r="E36" s="70"/>
      <c r="F36" s="71">
        <v>30000</v>
      </c>
      <c r="G36" s="71"/>
      <c r="H36" s="15"/>
      <c r="I36" s="15"/>
      <c r="J36" s="22">
        <f>534.6</f>
        <v>534.6</v>
      </c>
      <c r="K36" s="25"/>
      <c r="L36" s="15"/>
      <c r="M36" s="22">
        <f>444+25000</f>
        <v>25444</v>
      </c>
      <c r="N36" s="15"/>
      <c r="O36" s="15"/>
      <c r="P36" s="22">
        <f>444</f>
        <v>444</v>
      </c>
      <c r="Q36" s="15"/>
      <c r="R36" s="15"/>
      <c r="S36" s="15"/>
      <c r="T36" s="31">
        <f t="shared" si="1"/>
        <v>26422.6</v>
      </c>
      <c r="U36" s="29">
        <f t="shared" si="2"/>
        <v>3577.4000000000015</v>
      </c>
    </row>
    <row r="37" spans="1:21" ht="12.75">
      <c r="A37" s="15">
        <f t="shared" si="3"/>
        <v>10</v>
      </c>
      <c r="B37" s="70" t="s">
        <v>45</v>
      </c>
      <c r="C37" s="70"/>
      <c r="D37" s="70"/>
      <c r="E37" s="70"/>
      <c r="F37" s="74">
        <v>50000</v>
      </c>
      <c r="G37" s="74"/>
      <c r="H37" s="22">
        <v>7499.15</v>
      </c>
      <c r="I37" s="15"/>
      <c r="J37" s="22">
        <v>3105</v>
      </c>
      <c r="K37" s="22">
        <f>3672.53+8273.24+3000-1150</f>
        <v>13795.77</v>
      </c>
      <c r="L37" s="22">
        <f>833.43+3000</f>
        <v>3833.43</v>
      </c>
      <c r="M37" s="22">
        <f>2895.67</f>
        <v>2895.67</v>
      </c>
      <c r="N37" s="22">
        <f>8320+3000+725.25+40000</f>
        <v>52045.25</v>
      </c>
      <c r="O37" s="22">
        <f>5815+15000+1270</f>
        <v>22085</v>
      </c>
      <c r="P37" s="22">
        <f>426+2990+3042.8+1225-0.2-3000</f>
        <v>4683.6</v>
      </c>
      <c r="Q37" s="15"/>
      <c r="R37" s="22">
        <f>350+1980+30000-30000-14000</f>
        <v>-11670</v>
      </c>
      <c r="S37" s="22">
        <f>454.45+1000</f>
        <v>1454.45</v>
      </c>
      <c r="T37" s="31">
        <f t="shared" si="1"/>
        <v>99727.31999999999</v>
      </c>
      <c r="U37" s="29">
        <f t="shared" si="2"/>
        <v>-49727.31999999999</v>
      </c>
    </row>
    <row r="38" spans="1:21" ht="12.75">
      <c r="A38" s="15">
        <f t="shared" si="3"/>
        <v>11</v>
      </c>
      <c r="B38" s="70" t="s">
        <v>46</v>
      </c>
      <c r="C38" s="70"/>
      <c r="D38" s="70"/>
      <c r="E38" s="70"/>
      <c r="F38" s="74">
        <v>10000</v>
      </c>
      <c r="G38" s="74"/>
      <c r="H38" s="22">
        <v>7422.18</v>
      </c>
      <c r="I38" s="15"/>
      <c r="J38" s="17"/>
      <c r="K38" s="25"/>
      <c r="L38" s="15" t="s">
        <v>89</v>
      </c>
      <c r="M38" s="15"/>
      <c r="N38" s="15"/>
      <c r="O38" s="15" t="s">
        <v>89</v>
      </c>
      <c r="P38" s="22">
        <f>11189.4+8749</f>
        <v>19938.4</v>
      </c>
      <c r="Q38" s="15"/>
      <c r="R38" s="15">
        <v>-17360.58</v>
      </c>
      <c r="S38" s="15"/>
      <c r="T38" s="31">
        <f>H38+P38+R38</f>
        <v>10000</v>
      </c>
      <c r="U38" s="29">
        <f t="shared" si="2"/>
        <v>0</v>
      </c>
    </row>
    <row r="39" spans="1:21" ht="12.75">
      <c r="A39" s="15">
        <f t="shared" si="3"/>
        <v>12</v>
      </c>
      <c r="B39" s="70" t="s">
        <v>104</v>
      </c>
      <c r="C39" s="70"/>
      <c r="D39" s="70"/>
      <c r="E39" s="70"/>
      <c r="F39" s="74">
        <v>670000</v>
      </c>
      <c r="G39" s="74"/>
      <c r="H39" s="15"/>
      <c r="I39" s="15"/>
      <c r="J39" s="17"/>
      <c r="K39" s="25"/>
      <c r="L39" s="15"/>
      <c r="M39" s="22">
        <f>35000</f>
        <v>35000</v>
      </c>
      <c r="N39" s="34">
        <f>35000+300000</f>
        <v>335000</v>
      </c>
      <c r="O39" s="34">
        <f>291695.71</f>
        <v>291695.71</v>
      </c>
      <c r="P39" s="15"/>
      <c r="Q39" s="15"/>
      <c r="R39" s="15">
        <f>22989</f>
        <v>22989</v>
      </c>
      <c r="S39" s="15"/>
      <c r="T39" s="31">
        <f t="shared" si="1"/>
        <v>684684.71</v>
      </c>
      <c r="U39" s="29">
        <f t="shared" si="2"/>
        <v>-14684.709999999963</v>
      </c>
    </row>
    <row r="40" spans="1:21" ht="12.75">
      <c r="A40" s="15">
        <f t="shared" si="3"/>
        <v>13</v>
      </c>
      <c r="B40" s="70" t="s">
        <v>47</v>
      </c>
      <c r="C40" s="70"/>
      <c r="D40" s="70"/>
      <c r="E40" s="70"/>
      <c r="F40" s="71">
        <v>170000</v>
      </c>
      <c r="G40" s="71"/>
      <c r="H40" s="15"/>
      <c r="I40" s="15"/>
      <c r="J40" s="17"/>
      <c r="K40" s="25"/>
      <c r="L40" s="15"/>
      <c r="M40" s="22">
        <v>170485</v>
      </c>
      <c r="N40" s="15"/>
      <c r="O40" s="15"/>
      <c r="P40" s="15"/>
      <c r="Q40" s="15"/>
      <c r="R40" s="15"/>
      <c r="S40" s="15"/>
      <c r="T40" s="31">
        <f t="shared" si="1"/>
        <v>170485</v>
      </c>
      <c r="U40" s="29">
        <f t="shared" si="2"/>
        <v>-485</v>
      </c>
    </row>
    <row r="41" spans="1:21" ht="12.75">
      <c r="A41" s="15">
        <f t="shared" si="3"/>
        <v>14</v>
      </c>
      <c r="B41" s="70" t="s">
        <v>48</v>
      </c>
      <c r="C41" s="70"/>
      <c r="D41" s="70"/>
      <c r="E41" s="70"/>
      <c r="F41" s="74">
        <v>50000</v>
      </c>
      <c r="G41" s="74"/>
      <c r="H41" s="15"/>
      <c r="I41" s="15"/>
      <c r="J41" s="17"/>
      <c r="K41" s="25">
        <f>1150</f>
        <v>1150</v>
      </c>
      <c r="L41" s="15">
        <v>4598</v>
      </c>
      <c r="M41" s="15"/>
      <c r="N41" s="15"/>
      <c r="O41" s="15"/>
      <c r="P41" s="15"/>
      <c r="Q41" s="15"/>
      <c r="R41" s="15">
        <f>30000+14000</f>
        <v>44000</v>
      </c>
      <c r="S41" s="15"/>
      <c r="T41" s="31">
        <f t="shared" si="1"/>
        <v>49748</v>
      </c>
      <c r="U41" s="29">
        <f t="shared" si="2"/>
        <v>252</v>
      </c>
    </row>
    <row r="42" spans="1:21" ht="12.75">
      <c r="A42" s="15">
        <f t="shared" si="3"/>
        <v>15</v>
      </c>
      <c r="B42" s="70" t="s">
        <v>49</v>
      </c>
      <c r="C42" s="70"/>
      <c r="D42" s="70"/>
      <c r="E42" s="70"/>
      <c r="F42" s="71">
        <v>360000</v>
      </c>
      <c r="G42" s="71"/>
      <c r="H42" s="15"/>
      <c r="I42" s="22">
        <f>30000</f>
        <v>30000</v>
      </c>
      <c r="J42" s="22">
        <v>30000</v>
      </c>
      <c r="K42" s="22">
        <v>30000</v>
      </c>
      <c r="L42" s="22">
        <v>30000</v>
      </c>
      <c r="M42" s="22">
        <f>30000+30000</f>
        <v>60000</v>
      </c>
      <c r="N42" s="22">
        <v>30000</v>
      </c>
      <c r="O42" s="22">
        <v>30000</v>
      </c>
      <c r="P42" s="15"/>
      <c r="Q42" s="22">
        <f>30000+30000</f>
        <v>60000</v>
      </c>
      <c r="R42" s="15"/>
      <c r="S42" s="22">
        <f>30000+30000</f>
        <v>60000</v>
      </c>
      <c r="T42" s="31">
        <f t="shared" si="1"/>
        <v>360000</v>
      </c>
      <c r="U42" s="29">
        <f t="shared" si="2"/>
        <v>0</v>
      </c>
    </row>
    <row r="43" spans="1:21" ht="12.75">
      <c r="A43" s="15">
        <f t="shared" si="3"/>
        <v>16</v>
      </c>
      <c r="B43" s="70" t="s">
        <v>50</v>
      </c>
      <c r="C43" s="70"/>
      <c r="D43" s="70"/>
      <c r="E43" s="70"/>
      <c r="F43" s="74">
        <v>50000</v>
      </c>
      <c r="G43" s="74"/>
      <c r="H43" s="15"/>
      <c r="I43" s="15"/>
      <c r="J43" s="17"/>
      <c r="K43" s="25">
        <v>139514.32</v>
      </c>
      <c r="L43" s="15"/>
      <c r="M43" s="15"/>
      <c r="N43" s="15"/>
      <c r="O43" s="15"/>
      <c r="P43" s="15"/>
      <c r="Q43" s="15"/>
      <c r="R43" s="15"/>
      <c r="S43" s="15"/>
      <c r="T43" s="31">
        <f t="shared" si="1"/>
        <v>139514.32</v>
      </c>
      <c r="U43" s="29">
        <f t="shared" si="2"/>
        <v>-89514.32</v>
      </c>
    </row>
    <row r="44" spans="1:21" ht="12.75">
      <c r="A44" s="15">
        <f t="shared" si="3"/>
        <v>17</v>
      </c>
      <c r="B44" s="75" t="s">
        <v>102</v>
      </c>
      <c r="C44" s="75"/>
      <c r="D44" s="75"/>
      <c r="E44" s="75"/>
      <c r="F44" s="74">
        <v>200000</v>
      </c>
      <c r="G44" s="74"/>
      <c r="H44" s="15"/>
      <c r="I44" s="15"/>
      <c r="J44" s="17"/>
      <c r="K44" s="25"/>
      <c r="L44" s="15"/>
      <c r="M44" s="22">
        <v>25000</v>
      </c>
      <c r="N44" s="15"/>
      <c r="O44" s="22">
        <f>25000</f>
        <v>25000</v>
      </c>
      <c r="P44" s="22">
        <v>150000</v>
      </c>
      <c r="Q44" s="15"/>
      <c r="R44" s="15"/>
      <c r="S44" s="15"/>
      <c r="T44" s="31">
        <f t="shared" si="1"/>
        <v>200000</v>
      </c>
      <c r="U44" s="29">
        <f t="shared" si="2"/>
        <v>0</v>
      </c>
    </row>
    <row r="45" spans="1:21" ht="12.75">
      <c r="A45" s="15">
        <f t="shared" si="3"/>
        <v>18</v>
      </c>
      <c r="B45" s="70" t="s">
        <v>103</v>
      </c>
      <c r="C45" s="70"/>
      <c r="D45" s="70"/>
      <c r="E45" s="70"/>
      <c r="F45" s="71">
        <v>200000</v>
      </c>
      <c r="G45" s="71"/>
      <c r="H45" s="15"/>
      <c r="I45" s="15"/>
      <c r="J45" s="17"/>
      <c r="K45" s="25"/>
      <c r="L45" s="22">
        <f>60000+40000+45000+30000</f>
        <v>175000</v>
      </c>
      <c r="M45" s="15"/>
      <c r="N45" s="15"/>
      <c r="O45" s="15"/>
      <c r="P45" s="15"/>
      <c r="Q45" s="15"/>
      <c r="R45" s="15"/>
      <c r="S45" s="15"/>
      <c r="T45" s="31">
        <f t="shared" si="1"/>
        <v>175000</v>
      </c>
      <c r="U45" s="29">
        <f t="shared" si="2"/>
        <v>25000</v>
      </c>
    </row>
    <row r="46" spans="1:21" ht="12.75">
      <c r="A46" s="15">
        <f t="shared" si="3"/>
        <v>19</v>
      </c>
      <c r="B46" s="21" t="s">
        <v>51</v>
      </c>
      <c r="C46" s="21"/>
      <c r="D46" s="21"/>
      <c r="E46" s="21"/>
      <c r="F46" s="71">
        <v>35000</v>
      </c>
      <c r="G46" s="73"/>
      <c r="H46" s="22">
        <f>1744.04</f>
        <v>1744.04</v>
      </c>
      <c r="I46" s="22">
        <v>1744.04</v>
      </c>
      <c r="J46" s="17"/>
      <c r="K46" s="22">
        <f>1744.04*2</f>
        <v>3488.08</v>
      </c>
      <c r="L46" s="15"/>
      <c r="M46" s="22">
        <f>1744.04+1744.04</f>
        <v>3488.08</v>
      </c>
      <c r="N46" s="22">
        <f>14868+1744.04</f>
        <v>16612.04</v>
      </c>
      <c r="O46" s="22">
        <v>1744.04</v>
      </c>
      <c r="P46" s="22">
        <v>1744.04</v>
      </c>
      <c r="Q46" s="22">
        <v>1744.04</v>
      </c>
      <c r="R46" s="22">
        <v>1744.04</v>
      </c>
      <c r="S46" s="22">
        <v>1744.04</v>
      </c>
      <c r="T46" s="31">
        <f t="shared" si="1"/>
        <v>35796.48</v>
      </c>
      <c r="U46" s="29">
        <f t="shared" si="2"/>
        <v>-796.4800000000032</v>
      </c>
    </row>
    <row r="47" spans="1:21" ht="12.75">
      <c r="A47" s="15">
        <f t="shared" si="3"/>
        <v>20</v>
      </c>
      <c r="B47" s="21" t="s">
        <v>52</v>
      </c>
      <c r="C47" s="21"/>
      <c r="D47" s="21"/>
      <c r="E47" s="21"/>
      <c r="F47" s="71">
        <v>18000</v>
      </c>
      <c r="G47" s="73"/>
      <c r="H47" s="15"/>
      <c r="I47" s="15"/>
      <c r="J47" s="22">
        <v>4500</v>
      </c>
      <c r="K47" s="25"/>
      <c r="L47" s="15"/>
      <c r="M47" s="22">
        <v>4500</v>
      </c>
      <c r="N47" s="15"/>
      <c r="O47" s="15"/>
      <c r="P47" s="22">
        <v>4864.7</v>
      </c>
      <c r="Q47" s="15"/>
      <c r="R47" s="15"/>
      <c r="S47" s="22">
        <v>4500</v>
      </c>
      <c r="T47" s="31">
        <f t="shared" si="1"/>
        <v>18364.7</v>
      </c>
      <c r="U47" s="29">
        <f t="shared" si="2"/>
        <v>-364.7000000000007</v>
      </c>
    </row>
    <row r="48" spans="1:21" ht="12.75">
      <c r="A48" s="15">
        <f t="shared" si="3"/>
        <v>21</v>
      </c>
      <c r="B48" s="21" t="s">
        <v>53</v>
      </c>
      <c r="C48" s="21"/>
      <c r="D48" s="21"/>
      <c r="E48" s="21"/>
      <c r="F48" s="71">
        <v>30000</v>
      </c>
      <c r="G48" s="73"/>
      <c r="H48" s="15"/>
      <c r="I48" s="15"/>
      <c r="J48" s="17"/>
      <c r="K48" s="25"/>
      <c r="L48" s="15">
        <v>9598</v>
      </c>
      <c r="M48" s="15"/>
      <c r="N48" s="15"/>
      <c r="O48" s="15"/>
      <c r="P48" s="15"/>
      <c r="Q48" s="15"/>
      <c r="R48" s="15">
        <f>17360.58+3000</f>
        <v>20360.58</v>
      </c>
      <c r="S48" s="15"/>
      <c r="T48" s="31">
        <f t="shared" si="1"/>
        <v>29958.58</v>
      </c>
      <c r="U48" s="29">
        <f t="shared" si="2"/>
        <v>41.419999999998254</v>
      </c>
    </row>
    <row r="49" spans="1:21" ht="12.75">
      <c r="A49" s="15">
        <f t="shared" si="3"/>
        <v>22</v>
      </c>
      <c r="B49" s="21" t="s">
        <v>54</v>
      </c>
      <c r="C49" s="21"/>
      <c r="D49" s="21"/>
      <c r="E49" s="21"/>
      <c r="F49" s="71">
        <v>235200</v>
      </c>
      <c r="G49" s="73"/>
      <c r="H49" s="22">
        <f>19790.3</f>
        <v>19790.3</v>
      </c>
      <c r="I49" s="15"/>
      <c r="J49" s="22">
        <v>19390.3</v>
      </c>
      <c r="K49" s="22">
        <f>19590.3+19590.3</f>
        <v>39180.6</v>
      </c>
      <c r="L49" s="15"/>
      <c r="M49" s="22">
        <f>19590.3+19590.3</f>
        <v>39180.6</v>
      </c>
      <c r="N49" s="22">
        <f>332.26+7964.37+11625.93</f>
        <v>19922.559999999998</v>
      </c>
      <c r="O49" s="22">
        <f>7964.37+11625.93</f>
        <v>19590.3</v>
      </c>
      <c r="P49" s="22">
        <f>2658.12+7964.37+11625.93</f>
        <v>22248.42</v>
      </c>
      <c r="Q49" s="22">
        <f>7964.37+11625.93</f>
        <v>19590.3</v>
      </c>
      <c r="R49" s="22">
        <f>7964.37+11625.93</f>
        <v>19590.3</v>
      </c>
      <c r="S49" s="22">
        <f>7964.37+11625.93</f>
        <v>19590.3</v>
      </c>
      <c r="T49" s="31">
        <f t="shared" si="1"/>
        <v>238073.97999999992</v>
      </c>
      <c r="U49" s="29">
        <f t="shared" si="2"/>
        <v>-2873.979999999923</v>
      </c>
    </row>
    <row r="50" spans="1:21" ht="12.75">
      <c r="A50" s="15">
        <f t="shared" si="3"/>
        <v>23</v>
      </c>
      <c r="B50" s="21" t="s">
        <v>55</v>
      </c>
      <c r="C50" s="21"/>
      <c r="D50" s="21"/>
      <c r="E50" s="21"/>
      <c r="F50" s="71">
        <v>10000</v>
      </c>
      <c r="G50" s="73"/>
      <c r="H50" s="15"/>
      <c r="I50" s="15"/>
      <c r="J50" s="17"/>
      <c r="K50" s="25"/>
      <c r="L50" s="15"/>
      <c r="M50" s="15"/>
      <c r="N50" s="15"/>
      <c r="O50" s="22">
        <v>7628</v>
      </c>
      <c r="P50" s="15"/>
      <c r="Q50" s="15"/>
      <c r="R50" s="22">
        <v>881</v>
      </c>
      <c r="S50" s="15"/>
      <c r="T50" s="31">
        <f t="shared" si="1"/>
        <v>8509</v>
      </c>
      <c r="U50" s="29">
        <f t="shared" si="2"/>
        <v>1491</v>
      </c>
    </row>
    <row r="51" spans="1:21" ht="12.75">
      <c r="A51" s="15">
        <f t="shared" si="3"/>
        <v>24</v>
      </c>
      <c r="B51" s="21" t="s">
        <v>61</v>
      </c>
      <c r="C51" s="21"/>
      <c r="D51" s="21"/>
      <c r="E51" s="21"/>
      <c r="F51" s="71">
        <v>30000</v>
      </c>
      <c r="G51" s="73"/>
      <c r="H51" s="22">
        <f>2500</f>
        <v>2500</v>
      </c>
      <c r="I51" s="22">
        <f>2500</f>
        <v>2500</v>
      </c>
      <c r="J51" s="22">
        <v>2500</v>
      </c>
      <c r="K51" s="22">
        <v>2500</v>
      </c>
      <c r="L51" s="22">
        <f>2500</f>
        <v>2500</v>
      </c>
      <c r="M51" s="22">
        <v>2500</v>
      </c>
      <c r="N51" s="22">
        <v>2500</v>
      </c>
      <c r="O51" s="22">
        <f>2500+2500</f>
        <v>5000</v>
      </c>
      <c r="P51" s="15"/>
      <c r="Q51" s="22">
        <f>2500</f>
        <v>2500</v>
      </c>
      <c r="R51" s="22">
        <v>2500</v>
      </c>
      <c r="S51" s="22">
        <f>2500+2500</f>
        <v>5000</v>
      </c>
      <c r="T51" s="31">
        <f t="shared" si="1"/>
        <v>32500</v>
      </c>
      <c r="U51" s="29">
        <f t="shared" si="2"/>
        <v>-2500</v>
      </c>
    </row>
    <row r="52" spans="1:21" ht="12.75">
      <c r="A52" s="15"/>
      <c r="B52" s="72" t="s">
        <v>8</v>
      </c>
      <c r="C52" s="72"/>
      <c r="D52" s="72"/>
      <c r="E52" s="72"/>
      <c r="F52" s="71">
        <f>SUM(F28:F51)</f>
        <v>3846552</v>
      </c>
      <c r="G52" s="73"/>
      <c r="H52" s="26">
        <f aca="true" t="shared" si="4" ref="H52:P52">SUM(H28:H51)</f>
        <v>133440.9</v>
      </c>
      <c r="I52" s="26">
        <f t="shared" si="4"/>
        <v>141157.63999999998</v>
      </c>
      <c r="J52" s="26">
        <f t="shared" si="4"/>
        <v>185774.76</v>
      </c>
      <c r="K52" s="27">
        <f t="shared" si="4"/>
        <v>362918.2</v>
      </c>
      <c r="L52" s="26">
        <f t="shared" si="4"/>
        <v>360948.58999999997</v>
      </c>
      <c r="M52" s="26">
        <f t="shared" si="4"/>
        <v>488716.69</v>
      </c>
      <c r="N52" s="26">
        <f t="shared" si="4"/>
        <v>584181.22</v>
      </c>
      <c r="O52" s="26">
        <f t="shared" si="4"/>
        <v>529549.1699999999</v>
      </c>
      <c r="P52" s="26">
        <f t="shared" si="4"/>
        <v>335417.43</v>
      </c>
      <c r="Q52" s="26">
        <f>SUM(Q28:Q51)</f>
        <v>202168.05</v>
      </c>
      <c r="R52" s="26">
        <f>SUM(R28:R51)</f>
        <v>218439.57999999996</v>
      </c>
      <c r="S52" s="26">
        <f>SUM(S28:S51)</f>
        <v>221923.25</v>
      </c>
      <c r="T52" s="31">
        <f t="shared" si="1"/>
        <v>3764635.48</v>
      </c>
      <c r="U52" s="29">
        <f>SUM(U28:U51)</f>
        <v>81916.52000000008</v>
      </c>
    </row>
    <row r="53" spans="1:20" ht="12.75">
      <c r="A53" s="15"/>
      <c r="B53" s="15"/>
      <c r="C53" s="15"/>
      <c r="D53" s="15"/>
      <c r="E53" s="15"/>
      <c r="F53" s="16"/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8"/>
    </row>
    <row r="54" spans="1:20" ht="12.75">
      <c r="A54" s="15"/>
      <c r="B54" s="15"/>
      <c r="C54" s="15"/>
      <c r="D54" s="15"/>
      <c r="E54" s="15"/>
      <c r="F54" s="16"/>
      <c r="G54" s="1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8"/>
    </row>
    <row r="55" spans="1:20" ht="12.75">
      <c r="A55" s="15"/>
      <c r="B55" s="15" t="s">
        <v>62</v>
      </c>
      <c r="C55" s="15"/>
      <c r="D55" s="15"/>
      <c r="E55" s="15"/>
      <c r="F55" s="73" t="s">
        <v>57</v>
      </c>
      <c r="G55" s="73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8"/>
    </row>
    <row r="56" spans="1:20" ht="12.75">
      <c r="A56" s="15"/>
      <c r="B56" s="15"/>
      <c r="C56" s="15"/>
      <c r="D56" s="15"/>
      <c r="E56" s="15"/>
      <c r="F56" s="73" t="s">
        <v>63</v>
      </c>
      <c r="G56" s="73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8"/>
    </row>
    <row r="57" spans="1:21" s="10" customFormat="1" ht="12.75" hidden="1">
      <c r="A57" s="28"/>
      <c r="B57" s="28"/>
      <c r="C57" s="28"/>
      <c r="D57" s="28"/>
      <c r="E57" s="28"/>
      <c r="F57" s="28"/>
      <c r="G57" s="28"/>
      <c r="H57" s="28">
        <f aca="true" t="shared" si="5" ref="H57:S57">H24-H52</f>
        <v>60122.590000000026</v>
      </c>
      <c r="I57" s="28">
        <f t="shared" si="5"/>
        <v>91461.88</v>
      </c>
      <c r="J57" s="28">
        <f t="shared" si="5"/>
        <v>70192.17000000001</v>
      </c>
      <c r="K57" s="28">
        <f t="shared" si="5"/>
        <v>-134273.74000000002</v>
      </c>
      <c r="L57" s="28">
        <f t="shared" si="5"/>
        <v>-141475.50999999998</v>
      </c>
      <c r="M57" s="28">
        <f t="shared" si="5"/>
        <v>-248173.77</v>
      </c>
      <c r="N57" s="28">
        <f t="shared" si="5"/>
        <v>-341711.27999999997</v>
      </c>
      <c r="O57" s="28">
        <f t="shared" si="5"/>
        <v>-293601.85999999987</v>
      </c>
      <c r="P57" s="28">
        <f t="shared" si="5"/>
        <v>-106745.36000000002</v>
      </c>
      <c r="Q57" s="28">
        <f t="shared" si="5"/>
        <v>58030.41</v>
      </c>
      <c r="R57" s="28">
        <f t="shared" si="5"/>
        <v>29747.600000000064</v>
      </c>
      <c r="S57" s="28">
        <f t="shared" si="5"/>
        <v>161012.48999999993</v>
      </c>
      <c r="T57" s="18">
        <f>H57+I57+J57+K57+L57+M57+N57+O57+P57+Q57+R57+S57</f>
        <v>-795414.3799999997</v>
      </c>
      <c r="U57" s="12"/>
    </row>
    <row r="58" spans="2:6" ht="12.75">
      <c r="B58" t="s">
        <v>58</v>
      </c>
      <c r="E58" t="s">
        <v>59</v>
      </c>
      <c r="F58" s="8" t="s">
        <v>60</v>
      </c>
    </row>
    <row r="60" ht="12.75">
      <c r="B60" t="s">
        <v>85</v>
      </c>
    </row>
    <row r="61" spans="2:9" ht="12.75" hidden="1">
      <c r="B61" t="s">
        <v>90</v>
      </c>
      <c r="I61">
        <v>2000</v>
      </c>
    </row>
    <row r="62" ht="12.75">
      <c r="B62" t="s">
        <v>71</v>
      </c>
    </row>
    <row r="63" spans="2:20" ht="12.75">
      <c r="B63" t="s">
        <v>75</v>
      </c>
      <c r="H63" s="3">
        <v>8642.3</v>
      </c>
      <c r="I63" s="3">
        <v>2000</v>
      </c>
      <c r="L63" s="3">
        <f>800</f>
        <v>800</v>
      </c>
      <c r="N63" s="3">
        <v>2000</v>
      </c>
      <c r="Q63" s="3">
        <v>2000</v>
      </c>
      <c r="T63" s="11">
        <f>H63+L63+N63+Q63</f>
        <v>13442.3</v>
      </c>
    </row>
    <row r="64" spans="2:20" ht="12.75">
      <c r="B64" t="s">
        <v>77</v>
      </c>
      <c r="H64" s="3">
        <v>63335.18</v>
      </c>
      <c r="I64" s="3">
        <v>73257.39</v>
      </c>
      <c r="J64" s="3">
        <v>65415.7</v>
      </c>
      <c r="K64" s="3">
        <v>67306.27</v>
      </c>
      <c r="L64" s="3">
        <v>64696.12</v>
      </c>
      <c r="M64" s="3">
        <v>60804.83</v>
      </c>
      <c r="N64" s="3">
        <v>57278.65</v>
      </c>
      <c r="O64" s="3">
        <v>59963.22</v>
      </c>
      <c r="P64" s="3">
        <v>56643.58</v>
      </c>
      <c r="Q64" s="3">
        <v>55680.79</v>
      </c>
      <c r="R64" s="3">
        <v>60632.98</v>
      </c>
      <c r="S64" s="3">
        <v>59258.44</v>
      </c>
      <c r="T64" s="11">
        <f>H64+I64+J64+K64+L64+M64+N64+O64+P64+Q64+R64+S64</f>
        <v>744273.1500000001</v>
      </c>
    </row>
    <row r="65" spans="2:20" ht="12.75">
      <c r="B65" t="s">
        <v>78</v>
      </c>
      <c r="H65" s="3">
        <v>392404.79</v>
      </c>
      <c r="I65" s="3">
        <v>460252.33</v>
      </c>
      <c r="J65" s="3">
        <v>461606.65</v>
      </c>
      <c r="K65" s="3">
        <v>493471.62</v>
      </c>
      <c r="L65" s="3">
        <v>361453.72</v>
      </c>
      <c r="M65" s="3">
        <v>128608.91</v>
      </c>
      <c r="N65" s="3">
        <v>102483</v>
      </c>
      <c r="O65" s="3">
        <v>31726.36</v>
      </c>
      <c r="P65" s="3">
        <v>86126.58</v>
      </c>
      <c r="Q65" s="3">
        <v>94831.73</v>
      </c>
      <c r="R65" s="3">
        <v>209541.12</v>
      </c>
      <c r="S65" s="3">
        <v>291061.8</v>
      </c>
      <c r="T65" s="11">
        <f aca="true" t="shared" si="6" ref="T65:T72">H65+I65+J65+K65+L65+M65+N65+O65+P65+Q65+R65+S65</f>
        <v>3113568.6100000003</v>
      </c>
    </row>
    <row r="66" spans="2:20" ht="12.75">
      <c r="B66" t="s">
        <v>79</v>
      </c>
      <c r="I66" s="3">
        <v>8949.6</v>
      </c>
      <c r="J66" s="3">
        <v>9147.6</v>
      </c>
      <c r="K66" s="3">
        <v>9180.6</v>
      </c>
      <c r="L66" s="3">
        <v>8806.71</v>
      </c>
      <c r="M66" s="3">
        <v>9236.7</v>
      </c>
      <c r="N66" s="3">
        <v>8781.3</v>
      </c>
      <c r="O66" s="3">
        <v>9081.6</v>
      </c>
      <c r="P66" s="3">
        <v>8982.6</v>
      </c>
      <c r="Q66" s="3">
        <v>9081.6</v>
      </c>
      <c r="R66" s="3">
        <v>8504.1</v>
      </c>
      <c r="S66" s="3">
        <v>8284.98</v>
      </c>
      <c r="T66" s="11">
        <f t="shared" si="6"/>
        <v>98037.39000000001</v>
      </c>
    </row>
    <row r="67" spans="2:20" ht="12.75">
      <c r="B67" t="s">
        <v>80</v>
      </c>
      <c r="R67" s="3">
        <v>263.14</v>
      </c>
      <c r="T67" s="11">
        <f t="shared" si="6"/>
        <v>263.14</v>
      </c>
    </row>
    <row r="68" spans="2:20" ht="12.75">
      <c r="B68" t="s">
        <v>81</v>
      </c>
      <c r="J68" s="3">
        <v>13800</v>
      </c>
      <c r="N68" s="3">
        <v>13800</v>
      </c>
      <c r="Q68" s="3">
        <v>13800</v>
      </c>
      <c r="S68" s="3">
        <v>13800</v>
      </c>
      <c r="T68" s="11">
        <f t="shared" si="6"/>
        <v>55200</v>
      </c>
    </row>
    <row r="69" spans="2:20" ht="12.75">
      <c r="B69" t="s">
        <v>83</v>
      </c>
      <c r="K69" s="3">
        <v>12400</v>
      </c>
      <c r="T69" s="11">
        <f>H69+I69+J69+K69+L69+M69+N69+O69+P69+Q69+R69+S69</f>
        <v>12400</v>
      </c>
    </row>
    <row r="70" spans="2:20" ht="12.75">
      <c r="B70" t="s">
        <v>84</v>
      </c>
      <c r="M70" s="3">
        <f>400+800</f>
        <v>1200</v>
      </c>
      <c r="T70" s="11">
        <f t="shared" si="6"/>
        <v>1200</v>
      </c>
    </row>
    <row r="71" spans="2:20" ht="12.75" hidden="1">
      <c r="B71" t="s">
        <v>100</v>
      </c>
      <c r="H71" s="9">
        <f>SUM(H61:H70)</f>
        <v>464382.26999999996</v>
      </c>
      <c r="I71" s="9">
        <f>SUM(I61:I70)</f>
        <v>546459.32</v>
      </c>
      <c r="J71" s="9">
        <f>SUM(J61:J70)</f>
        <v>549969.95</v>
      </c>
      <c r="K71" s="9">
        <f>SUM(K61:K70)</f>
        <v>582358.49</v>
      </c>
      <c r="R71" s="3">
        <v>50000</v>
      </c>
      <c r="S71" s="3">
        <v>42970</v>
      </c>
      <c r="T71" s="11">
        <f t="shared" si="6"/>
        <v>2236140.03</v>
      </c>
    </row>
    <row r="72" spans="2:20" ht="12.75" hidden="1">
      <c r="B72" t="s">
        <v>82</v>
      </c>
      <c r="K72">
        <v>4000</v>
      </c>
      <c r="T72" s="11">
        <f t="shared" si="6"/>
        <v>4000</v>
      </c>
    </row>
    <row r="73" spans="8:20" ht="12.75">
      <c r="H73" s="32">
        <f>H52+H63+H64+H65</f>
        <v>597823.1699999999</v>
      </c>
      <c r="I73" s="33">
        <f>I52+I64+I65+I66+I63</f>
        <v>685616.96</v>
      </c>
      <c r="J73" s="32">
        <f>J52+J64+J65+J66+J68</f>
        <v>735744.7100000001</v>
      </c>
      <c r="K73" s="33">
        <f>K52+K64+K65+K66+K69</f>
        <v>945276.6900000001</v>
      </c>
      <c r="L73" s="32">
        <f>L52+L63+L64+L65+L66</f>
        <v>796705.1399999999</v>
      </c>
      <c r="M73" s="33">
        <f>M52+M64+M65+M66+M70</f>
        <v>688567.13</v>
      </c>
      <c r="N73" s="32">
        <f>N52+N63+N64+N65+N66+N68</f>
        <v>768524.17</v>
      </c>
      <c r="O73" s="33">
        <f>O52+O64+O65+O66</f>
        <v>630320.3499999999</v>
      </c>
      <c r="P73" s="33">
        <f>P52+P64+P65+P66</f>
        <v>487170.19</v>
      </c>
      <c r="Q73" s="33">
        <f>Q52+Q63+Q64+Q65+Q66+Q68</f>
        <v>377562.17</v>
      </c>
      <c r="R73" s="33">
        <f>R52+R64+R65+R66+R67+R71</f>
        <v>547380.9199999999</v>
      </c>
      <c r="S73" s="32">
        <f>SUM(S64:S72)+S52</f>
        <v>637298.47</v>
      </c>
      <c r="T73" s="35">
        <f>T52+T63+T64+T65+T66+T67+T68+T69+T70</f>
        <v>7803020.069999999</v>
      </c>
    </row>
    <row r="74" spans="2:16" ht="12.75" hidden="1">
      <c r="B74" s="14" t="s">
        <v>91</v>
      </c>
      <c r="H74">
        <f>114985.12+56996.34</f>
        <v>171981.46</v>
      </c>
      <c r="I74">
        <f>147996.53+85847.31</f>
        <v>233843.84</v>
      </c>
      <c r="J74">
        <f>188326.12+150284.03</f>
        <v>338610.15</v>
      </c>
      <c r="K74">
        <f>140378.44+85589.13</f>
        <v>225967.57</v>
      </c>
      <c r="L74">
        <f>145923.33+94415.9</f>
        <v>240339.22999999998</v>
      </c>
      <c r="M74">
        <f>155616.25+103708.34</f>
        <v>259324.59</v>
      </c>
      <c r="N74">
        <f>143863.03+87394.87</f>
        <v>231257.9</v>
      </c>
      <c r="O74">
        <f>169217.54+91454.6+5599.34</f>
        <v>266271.48000000004</v>
      </c>
      <c r="P74">
        <f>164498.67+91823.46+358.95</f>
        <v>256681.08000000002</v>
      </c>
    </row>
    <row r="75" spans="2:16" ht="12.75" hidden="1">
      <c r="B75" s="14" t="s">
        <v>92</v>
      </c>
      <c r="H75">
        <f>23935.84+14795.63</f>
        <v>38731.47</v>
      </c>
      <c r="I75">
        <f>34884.83+22227.83</f>
        <v>57112.66</v>
      </c>
      <c r="J75">
        <f>58322.53+38254.18</f>
        <v>96576.70999999999</v>
      </c>
      <c r="K75">
        <f>35495.69+21939.11</f>
        <v>57434.8</v>
      </c>
      <c r="L75">
        <f>45788.24+24219.69</f>
        <v>70007.93</v>
      </c>
      <c r="M75">
        <f>44979.67+26698.9</f>
        <v>71678.57</v>
      </c>
      <c r="N75">
        <f>35829.15+22581.34+0.69+0.73</f>
        <v>58411.91000000001</v>
      </c>
      <c r="O75">
        <f>38454.7+23553.85+317.05+792.66+1960.18</f>
        <v>65078.44</v>
      </c>
      <c r="P75">
        <f>39001.69+23962.56+112.66+47.5+218.98</f>
        <v>63343.39000000001</v>
      </c>
    </row>
    <row r="76" spans="2:16" ht="12.75" hidden="1">
      <c r="B76" t="s">
        <v>93</v>
      </c>
      <c r="H76">
        <f>4968.67+2334.42</f>
        <v>7303.09</v>
      </c>
      <c r="I76">
        <f>7524.62+569.65</f>
        <v>8094.2699999999995</v>
      </c>
      <c r="J76">
        <f>11967.55+214.64</f>
        <v>12182.189999999999</v>
      </c>
      <c r="K76">
        <f>7222.21+449.5</f>
        <v>7671.71</v>
      </c>
      <c r="L76">
        <f>8007.25+623.7</f>
        <v>8630.95</v>
      </c>
      <c r="M76">
        <f>8902.75+178.2</f>
        <v>9080.95</v>
      </c>
      <c r="N76">
        <f>6407.31+2180.33</f>
        <v>8587.64</v>
      </c>
      <c r="O76">
        <f>8749.98+1085.54</f>
        <v>9835.52</v>
      </c>
      <c r="P76">
        <f>6428.63+3206.23</f>
        <v>9634.86</v>
      </c>
    </row>
    <row r="77" spans="2:16" ht="12.75" hidden="1">
      <c r="B77" t="s">
        <v>94</v>
      </c>
      <c r="H77">
        <v>2918.32</v>
      </c>
      <c r="I77">
        <v>4077.45</v>
      </c>
      <c r="J77">
        <v>5608.29</v>
      </c>
      <c r="K77">
        <v>3823.23</v>
      </c>
      <c r="L77">
        <v>4117.83</v>
      </c>
      <c r="M77">
        <v>4564.5</v>
      </c>
      <c r="N77">
        <v>4284.26</v>
      </c>
      <c r="O77">
        <v>4654.11</v>
      </c>
      <c r="P77">
        <v>4444.75</v>
      </c>
    </row>
    <row r="78" spans="2:16" ht="12.75" hidden="1">
      <c r="B78" t="s">
        <v>95</v>
      </c>
      <c r="H78">
        <v>225.7</v>
      </c>
      <c r="I78">
        <v>478.81</v>
      </c>
      <c r="J78">
        <v>866.33</v>
      </c>
      <c r="K78">
        <v>719.81</v>
      </c>
      <c r="L78">
        <v>749.8</v>
      </c>
      <c r="M78">
        <v>795.55</v>
      </c>
      <c r="N78">
        <v>775.09</v>
      </c>
      <c r="O78">
        <v>885.25</v>
      </c>
      <c r="P78">
        <v>854.24</v>
      </c>
    </row>
    <row r="79" spans="2:16" ht="12.75" hidden="1">
      <c r="B79" t="s">
        <v>81</v>
      </c>
      <c r="I79">
        <v>-63.06</v>
      </c>
      <c r="J79">
        <v>160</v>
      </c>
      <c r="K79">
        <v>140</v>
      </c>
      <c r="L79">
        <v>20</v>
      </c>
      <c r="M79">
        <v>98.89</v>
      </c>
      <c r="N79">
        <v>80</v>
      </c>
      <c r="O79">
        <v>60</v>
      </c>
      <c r="P79">
        <v>31</v>
      </c>
    </row>
    <row r="80" spans="2:16" ht="12.75" hidden="1">
      <c r="B80" t="s">
        <v>96</v>
      </c>
      <c r="H80">
        <v>1474.48</v>
      </c>
      <c r="I80">
        <v>2061.58</v>
      </c>
      <c r="J80">
        <v>3091.7</v>
      </c>
      <c r="K80">
        <v>1964.91</v>
      </c>
      <c r="L80">
        <v>2139.95</v>
      </c>
      <c r="M80">
        <v>2528.4</v>
      </c>
      <c r="N80">
        <v>1976.47</v>
      </c>
      <c r="O80">
        <v>2399.13</v>
      </c>
      <c r="P80">
        <v>1990.42</v>
      </c>
    </row>
    <row r="81" spans="2:15" ht="12.75" hidden="1">
      <c r="B81" t="s">
        <v>97</v>
      </c>
      <c r="H81">
        <v>70.77</v>
      </c>
      <c r="I81">
        <v>11.38</v>
      </c>
      <c r="J81">
        <v>-53.35</v>
      </c>
      <c r="K81">
        <v>-14.67</v>
      </c>
      <c r="L81">
        <v>-23.24</v>
      </c>
      <c r="M81">
        <v>33.18</v>
      </c>
      <c r="N81">
        <v>-6.68</v>
      </c>
      <c r="O81">
        <v>2.53</v>
      </c>
    </row>
    <row r="82" spans="2:16" ht="12.75" hidden="1">
      <c r="B82" t="s">
        <v>98</v>
      </c>
      <c r="H82">
        <v>31808.97</v>
      </c>
      <c r="I82">
        <v>17629.48</v>
      </c>
      <c r="J82" s="4">
        <v>-20147.75</v>
      </c>
      <c r="K82">
        <v>-678.46</v>
      </c>
      <c r="L82">
        <v>-6682.79</v>
      </c>
      <c r="M82">
        <v>10791.77</v>
      </c>
      <c r="N82">
        <v>-1300.78</v>
      </c>
      <c r="O82">
        <v>-1805.91</v>
      </c>
      <c r="P82">
        <v>-9527.06</v>
      </c>
    </row>
    <row r="83" spans="2:16" ht="12.75" hidden="1">
      <c r="B83" t="s">
        <v>99</v>
      </c>
      <c r="H83">
        <v>-2554.81</v>
      </c>
      <c r="I83">
        <v>660.13</v>
      </c>
      <c r="J83">
        <v>3067.43</v>
      </c>
      <c r="K83">
        <v>-306.46</v>
      </c>
      <c r="L83">
        <v>-680.8</v>
      </c>
      <c r="M83">
        <v>-471.43</v>
      </c>
      <c r="N83">
        <v>-1077.1</v>
      </c>
      <c r="O83">
        <v>90.78</v>
      </c>
      <c r="P83">
        <v>-537.98</v>
      </c>
    </row>
    <row r="84" ht="12.75" hidden="1"/>
  </sheetData>
  <mergeCells count="62">
    <mergeCell ref="F55:G55"/>
    <mergeCell ref="F56:G56"/>
    <mergeCell ref="F51:G51"/>
    <mergeCell ref="A12:J12"/>
    <mergeCell ref="A13:K13"/>
    <mergeCell ref="A15:C15"/>
    <mergeCell ref="B17:E17"/>
    <mergeCell ref="F17:G17"/>
    <mergeCell ref="B18:E18"/>
    <mergeCell ref="F18:G18"/>
    <mergeCell ref="B19:E19"/>
    <mergeCell ref="F19:G19"/>
    <mergeCell ref="B21:E21"/>
    <mergeCell ref="F21:G21"/>
    <mergeCell ref="B22:E22"/>
    <mergeCell ref="F22:G22"/>
    <mergeCell ref="F23:G23"/>
    <mergeCell ref="B24:E24"/>
    <mergeCell ref="F24:G24"/>
    <mergeCell ref="A26:C26"/>
    <mergeCell ref="B28:E28"/>
    <mergeCell ref="F28:G28"/>
    <mergeCell ref="B30:E30"/>
    <mergeCell ref="F30:G30"/>
    <mergeCell ref="F29:G29"/>
    <mergeCell ref="B31:E31"/>
    <mergeCell ref="F31:G31"/>
    <mergeCell ref="B32:E32"/>
    <mergeCell ref="F32:G32"/>
    <mergeCell ref="B33:E33"/>
    <mergeCell ref="F33:G33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B43:E43"/>
    <mergeCell ref="F43:G43"/>
    <mergeCell ref="B44:E44"/>
    <mergeCell ref="F44:G44"/>
    <mergeCell ref="B45:E45"/>
    <mergeCell ref="F45:G45"/>
    <mergeCell ref="B52:E52"/>
    <mergeCell ref="F52:G52"/>
    <mergeCell ref="F46:G46"/>
    <mergeCell ref="F47:G47"/>
    <mergeCell ref="F48:G48"/>
    <mergeCell ref="F49:G49"/>
    <mergeCell ref="F50:G5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04"/>
  <sheetViews>
    <sheetView workbookViewId="0" topLeftCell="A16">
      <selection activeCell="V73" sqref="V73"/>
    </sheetView>
  </sheetViews>
  <sheetFormatPr defaultColWidth="9.00390625" defaultRowHeight="12.75"/>
  <cols>
    <col min="1" max="1" width="7.625" style="0" customWidth="1"/>
    <col min="2" max="2" width="7.25390625" style="0" customWidth="1"/>
    <col min="5" max="5" width="15.875" style="0" customWidth="1"/>
    <col min="6" max="6" width="9.50390625" style="8" bestFit="1" customWidth="1"/>
    <col min="7" max="7" width="5.25390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9.50390625" style="0" hidden="1" customWidth="1"/>
    <col min="13" max="13" width="9.75390625" style="0" hidden="1" customWidth="1"/>
    <col min="14" max="14" width="10.50390625" style="0" hidden="1" customWidth="1"/>
    <col min="15" max="15" width="9.50390625" style="0" hidden="1" customWidth="1"/>
    <col min="16" max="16" width="9.625" style="0" hidden="1" customWidth="1"/>
    <col min="17" max="19" width="9.50390625" style="0" hidden="1" customWidth="1"/>
    <col min="20" max="20" width="11.50390625" style="11" customWidth="1"/>
    <col min="21" max="21" width="10.625" style="13" hidden="1" customWidth="1"/>
    <col min="22" max="22" width="11.875" style="0" customWidth="1"/>
    <col min="24" max="24" width="10.50390625" style="0" bestFit="1" customWidth="1"/>
  </cols>
  <sheetData>
    <row r="2" spans="1:22" ht="19.5" customHeight="1">
      <c r="A2" s="80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22.5" customHeight="1">
      <c r="A3" s="80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5" spans="1:6" ht="12.75">
      <c r="A5" t="s">
        <v>31</v>
      </c>
      <c r="F5" s="8" t="s">
        <v>32</v>
      </c>
    </row>
    <row r="6" spans="1:6" ht="12.75">
      <c r="A6" t="s">
        <v>33</v>
      </c>
      <c r="F6" s="8" t="s">
        <v>34</v>
      </c>
    </row>
    <row r="7" spans="1:6" ht="12.75">
      <c r="A7" t="s">
        <v>40</v>
      </c>
      <c r="F7" s="8" t="s">
        <v>35</v>
      </c>
    </row>
    <row r="8" spans="6:24" ht="12.75">
      <c r="F8" s="8" t="s">
        <v>36</v>
      </c>
      <c r="X8" s="4"/>
    </row>
    <row r="9" spans="1:22" ht="12.75">
      <c r="A9" s="56" t="s">
        <v>129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ht="12.75">
      <c r="A10" s="6" t="s">
        <v>39</v>
      </c>
    </row>
    <row r="11" ht="12.75" hidden="1"/>
    <row r="12" spans="1:10" ht="21">
      <c r="A12" s="78" t="s">
        <v>0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1" ht="15">
      <c r="A13" s="79" t="s">
        <v>116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ht="3" customHeight="1">
      <c r="J14" s="3"/>
    </row>
    <row r="15" spans="1:20" ht="14.25" customHeight="1">
      <c r="A15" s="77" t="s">
        <v>2</v>
      </c>
      <c r="B15" s="77"/>
      <c r="C15" s="77"/>
      <c r="D15" s="15"/>
      <c r="E15" s="15"/>
      <c r="F15" s="16"/>
      <c r="G15" s="16" t="s">
        <v>105</v>
      </c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0" ht="9" customHeight="1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2" ht="12.75">
      <c r="A17" s="15">
        <v>1</v>
      </c>
      <c r="B17" s="76" t="s">
        <v>3</v>
      </c>
      <c r="C17" s="76"/>
      <c r="D17" s="76"/>
      <c r="E17" s="76"/>
      <c r="F17" s="71">
        <v>1211240</v>
      </c>
      <c r="G17" s="71"/>
      <c r="H17" s="15">
        <f>2500+9930+54400+3000+4800+54400</f>
        <v>129030</v>
      </c>
      <c r="I17" s="15">
        <f>2500+3000+14000+4800+9930+15000+54400</f>
        <v>103630</v>
      </c>
      <c r="J17" s="17">
        <f>2500+3000+4800+14000+9930+14000</f>
        <v>48230</v>
      </c>
      <c r="K17" s="15">
        <f>2500+54400+3000+4800+15000</f>
        <v>79700</v>
      </c>
      <c r="L17" s="15">
        <f>2500+4800+54400+14000+3000+9930</f>
        <v>88630</v>
      </c>
      <c r="M17" s="15">
        <f>2500+54400+3000+20000+4800+15000</f>
        <v>99700</v>
      </c>
      <c r="N17" s="15">
        <f>2500+59000+20000+9930+3300+10600+5200+59000+4800</f>
        <v>174330</v>
      </c>
      <c r="O17" s="44">
        <f>2500+3300+20000+20530+5200+15000</f>
        <v>66530</v>
      </c>
      <c r="P17" s="44">
        <f>2500+59000+3300+20000+10600+5200</f>
        <v>100600</v>
      </c>
      <c r="Q17" s="44">
        <f>2500+3300+20000+59000+10600+15000+5200</f>
        <v>115600</v>
      </c>
      <c r="R17" s="15">
        <f>2500+3300+20000+10600+5200+59000</f>
        <v>100600</v>
      </c>
      <c r="S17" s="15">
        <f>2500+59000+3300+20000+7500+5200+10600</f>
        <v>108100</v>
      </c>
      <c r="T17" s="31">
        <f>H17+I17+J17+K17+L17+M17+N17+O17+P17+Q17+R17+S17</f>
        <v>1214680</v>
      </c>
      <c r="U17" s="36">
        <f>F17-T17</f>
        <v>-3440</v>
      </c>
      <c r="V17" s="44">
        <f>F17-T17</f>
        <v>-3440</v>
      </c>
    </row>
    <row r="18" spans="1:22" ht="12.75">
      <c r="A18" s="15">
        <v>2</v>
      </c>
      <c r="B18" s="76" t="s">
        <v>4</v>
      </c>
      <c r="C18" s="76"/>
      <c r="D18" s="76"/>
      <c r="E18" s="76"/>
      <c r="F18" s="71">
        <v>1813330</v>
      </c>
      <c r="G18" s="71"/>
      <c r="H18" s="15">
        <f>90364.06+21606.89</f>
        <v>111970.95</v>
      </c>
      <c r="I18" s="15">
        <f>104178.51+14830.75</f>
        <v>119009.26</v>
      </c>
      <c r="J18" s="17">
        <f>151560.38+12996.58</f>
        <v>164556.96</v>
      </c>
      <c r="K18" s="15">
        <f>117581.4+14044.9</f>
        <v>131626.3</v>
      </c>
      <c r="L18" s="15">
        <f>90736.74+17090.88</f>
        <v>107827.62000000001</v>
      </c>
      <c r="M18" s="15">
        <f>109688.83+12154.28</f>
        <v>121843.11</v>
      </c>
      <c r="N18" s="15">
        <f>110426.65+20795.58</f>
        <v>131222.22999999998</v>
      </c>
      <c r="O18" s="15">
        <f>134148.02+16947.25</f>
        <v>151095.27</v>
      </c>
      <c r="P18" s="44">
        <f>140444.39+16592.16</f>
        <v>157036.55000000002</v>
      </c>
      <c r="Q18" s="44">
        <f>173951.63+20144.33</f>
        <v>194095.96000000002</v>
      </c>
      <c r="R18" s="15">
        <f>99070.37-17.2+24285.7</f>
        <v>123338.87</v>
      </c>
      <c r="S18" s="15">
        <f>193886.58+8770.4</f>
        <v>202656.97999999998</v>
      </c>
      <c r="T18" s="31">
        <f aca="true" t="shared" si="0" ref="T18:T24">H18+I18+J18+K18+L18+M18+N18+O18+P18+Q18+R18+S18</f>
        <v>1716280.06</v>
      </c>
      <c r="U18" s="36"/>
      <c r="V18" s="44">
        <f aca="true" t="shared" si="1" ref="V18:V66">F18-T18</f>
        <v>97049.93999999994</v>
      </c>
    </row>
    <row r="19" spans="1:22" ht="12.75">
      <c r="A19" s="15">
        <v>3</v>
      </c>
      <c r="B19" s="76" t="s">
        <v>5</v>
      </c>
      <c r="C19" s="76"/>
      <c r="D19" s="76"/>
      <c r="E19" s="76"/>
      <c r="F19" s="71">
        <v>234650</v>
      </c>
      <c r="G19" s="71"/>
      <c r="H19" s="15">
        <v>15762.71</v>
      </c>
      <c r="I19" s="15">
        <v>16856.29</v>
      </c>
      <c r="J19" s="17">
        <v>23371.99</v>
      </c>
      <c r="K19" s="15">
        <v>18592.08</v>
      </c>
      <c r="L19" s="15">
        <v>15397.99</v>
      </c>
      <c r="M19" s="15">
        <v>17117.98</v>
      </c>
      <c r="N19" s="15">
        <v>17492.83</v>
      </c>
      <c r="O19" s="15">
        <v>18612.52</v>
      </c>
      <c r="P19" s="44">
        <v>18900.48</v>
      </c>
      <c r="Q19" s="44">
        <v>23304.75</v>
      </c>
      <c r="R19" s="15">
        <v>14801.29</v>
      </c>
      <c r="S19" s="15">
        <v>25167.31</v>
      </c>
      <c r="T19" s="31">
        <f t="shared" si="0"/>
        <v>225378.22000000003</v>
      </c>
      <c r="U19" s="36"/>
      <c r="V19" s="44">
        <f t="shared" si="1"/>
        <v>9271.77999999997</v>
      </c>
    </row>
    <row r="20" spans="1:22" ht="12.75" hidden="1">
      <c r="A20" s="15">
        <v>4</v>
      </c>
      <c r="B20" s="19" t="s">
        <v>43</v>
      </c>
      <c r="C20" s="19"/>
      <c r="D20" s="19"/>
      <c r="E20" s="19"/>
      <c r="F20" s="20"/>
      <c r="G20" s="20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/>
      <c r="T20" s="31">
        <f t="shared" si="0"/>
        <v>0</v>
      </c>
      <c r="U20" s="36"/>
      <c r="V20" s="44">
        <f t="shared" si="1"/>
        <v>0</v>
      </c>
    </row>
    <row r="21" spans="1:22" ht="12.75">
      <c r="A21" s="15">
        <v>4</v>
      </c>
      <c r="B21" s="70" t="s">
        <v>6</v>
      </c>
      <c r="C21" s="70"/>
      <c r="D21" s="70"/>
      <c r="E21" s="70"/>
      <c r="F21" s="71">
        <v>8000</v>
      </c>
      <c r="G21" s="71"/>
      <c r="H21" s="15">
        <v>553.15</v>
      </c>
      <c r="I21" s="15">
        <v>574.04</v>
      </c>
      <c r="J21" s="17">
        <v>537.47</v>
      </c>
      <c r="K21" s="15">
        <v>530.18</v>
      </c>
      <c r="L21" s="15">
        <v>461.46</v>
      </c>
      <c r="M21" s="15"/>
      <c r="N21" s="15">
        <v>411.37</v>
      </c>
      <c r="O21" s="44">
        <v>471.6</v>
      </c>
      <c r="P21" s="44">
        <v>515.1</v>
      </c>
      <c r="Q21" s="44">
        <f>516.89</f>
        <v>516.89</v>
      </c>
      <c r="R21" s="15">
        <v>609.57</v>
      </c>
      <c r="S21" s="15">
        <v>657.75</v>
      </c>
      <c r="T21" s="31">
        <f t="shared" si="0"/>
        <v>5838.58</v>
      </c>
      <c r="U21" s="36"/>
      <c r="V21" s="44">
        <f t="shared" si="1"/>
        <v>2161.42</v>
      </c>
    </row>
    <row r="22" spans="1:22" ht="12.75">
      <c r="A22" s="15">
        <v>5</v>
      </c>
      <c r="B22" s="70" t="s">
        <v>107</v>
      </c>
      <c r="C22" s="70"/>
      <c r="D22" s="70"/>
      <c r="E22" s="70"/>
      <c r="F22" s="71">
        <v>84196.67</v>
      </c>
      <c r="G22" s="71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/>
      <c r="T22" s="31">
        <v>66015.65</v>
      </c>
      <c r="U22" s="36"/>
      <c r="V22" s="44" t="s">
        <v>89</v>
      </c>
    </row>
    <row r="23" spans="1:22" ht="12.75">
      <c r="A23" s="15">
        <v>6</v>
      </c>
      <c r="B23" s="21" t="s">
        <v>108</v>
      </c>
      <c r="C23" s="21"/>
      <c r="D23" s="21"/>
      <c r="E23" s="21"/>
      <c r="F23" s="71">
        <v>1296602.15</v>
      </c>
      <c r="G23" s="71"/>
      <c r="H23" s="15"/>
      <c r="I23" s="15"/>
      <c r="J23" s="22"/>
      <c r="K23" s="15"/>
      <c r="L23" s="15"/>
      <c r="M23" s="15"/>
      <c r="N23" s="15"/>
      <c r="O23" s="15"/>
      <c r="P23" s="44"/>
      <c r="Q23" s="44"/>
      <c r="R23" s="15"/>
      <c r="S23" s="15"/>
      <c r="T23" s="31">
        <v>1538937.39</v>
      </c>
      <c r="U23" s="36"/>
      <c r="V23" s="44" t="s">
        <v>89</v>
      </c>
    </row>
    <row r="24" spans="1:22" ht="12.75">
      <c r="A24" s="15"/>
      <c r="B24" s="72" t="s">
        <v>8</v>
      </c>
      <c r="C24" s="72"/>
      <c r="D24" s="72"/>
      <c r="E24" s="72"/>
      <c r="F24" s="71">
        <f>SUM(F17:F23)</f>
        <v>4648018.82</v>
      </c>
      <c r="G24" s="71"/>
      <c r="H24" s="23">
        <f aca="true" t="shared" si="2" ref="H24:P24">SUM(H17:H23)</f>
        <v>257316.81</v>
      </c>
      <c r="I24" s="23">
        <f t="shared" si="2"/>
        <v>240069.59000000003</v>
      </c>
      <c r="J24" s="23">
        <f t="shared" si="2"/>
        <v>236696.41999999998</v>
      </c>
      <c r="K24" s="23">
        <f t="shared" si="2"/>
        <v>230448.56</v>
      </c>
      <c r="L24" s="23">
        <f t="shared" si="2"/>
        <v>212317.06999999998</v>
      </c>
      <c r="M24" s="45">
        <f t="shared" si="2"/>
        <v>238661.09</v>
      </c>
      <c r="N24" s="23">
        <f t="shared" si="2"/>
        <v>323456.43</v>
      </c>
      <c r="O24" s="45">
        <f t="shared" si="2"/>
        <v>236709.38999999998</v>
      </c>
      <c r="P24" s="45">
        <f t="shared" si="2"/>
        <v>277052.13</v>
      </c>
      <c r="Q24" s="45">
        <f>SUM(Q17:Q23)</f>
        <v>333517.60000000003</v>
      </c>
      <c r="R24" s="23">
        <f>SUM(R17:R23)</f>
        <v>239349.73</v>
      </c>
      <c r="S24" s="45">
        <f>SUM(S17:S23)</f>
        <v>336582.04</v>
      </c>
      <c r="T24" s="31">
        <f t="shared" si="0"/>
        <v>3162176.8600000003</v>
      </c>
      <c r="U24" s="36">
        <f>F24-T24</f>
        <v>1485841.96</v>
      </c>
      <c r="V24" s="44">
        <f>SUM(V17:V23)</f>
        <v>105043.13999999991</v>
      </c>
    </row>
    <row r="25" spans="1:22" ht="14.25" customHeight="1">
      <c r="A25" s="15"/>
      <c r="B25" s="15" t="s">
        <v>134</v>
      </c>
      <c r="C25" s="15"/>
      <c r="D25" s="15"/>
      <c r="E25" s="15"/>
      <c r="F25" s="16"/>
      <c r="G25" s="16"/>
      <c r="H25" s="15">
        <f>88277.95+123460.92+1600+95677.29+90569.63</f>
        <v>399585.79</v>
      </c>
      <c r="I25" s="15">
        <f>41199.24+338+107188.89+76052.64+79223.86+43398.34+107905.59+27236.58</f>
        <v>482543.13999999996</v>
      </c>
      <c r="J25" s="22">
        <f>60+79675.14+236.6+82003.88+64931.32+44039.98+79191.48+54576.08+80059.17+39636.66+86718.14+270.4</f>
        <v>611398.85</v>
      </c>
      <c r="K25" s="15">
        <f>44694.98+66470.28+59736.16+67073.89+49287.16+121932.66+45044.17+34711.64</f>
        <v>488950.94</v>
      </c>
      <c r="L25" s="15">
        <f>84244.89+270.4+35640.54+70384.08+51433.08+92263.42+63669.16</f>
        <v>397905.56999999995</v>
      </c>
      <c r="M25" s="15">
        <f>52613.71+405+41259.38+82995.42+50083.44+112212.59+49908.11+67342.72</f>
        <v>456820.37</v>
      </c>
      <c r="N25" s="15">
        <f>68699.09+40126.1+26442.35+57983.5+53969.03+46754.29+45350.87+34444.76+41412.08+31797.89</f>
        <v>446979.96</v>
      </c>
      <c r="O25" s="44">
        <f>56686.77+55010.28+268.4+92964.01+40926.27+60258.32+42138.71+40266.64+25894.47</f>
        <v>414413.87</v>
      </c>
      <c r="P25" s="44">
        <f>36322.17+27219.19+780+47316.9+75151.26+179+60344.18+93488.45+63728.56+22687.71+33689.88</f>
        <v>460907.30000000005</v>
      </c>
      <c r="Q25" s="44">
        <f>78504.42+62869.39+83199.79+104231.57+38170.46+76409.18+66659.18+34948.69+38878.53</f>
        <v>583871.21</v>
      </c>
      <c r="R25" s="15">
        <f>179+47222.95+2000+52306.58+74160.78+54871.97+39141.32+39983.1+76713.92</f>
        <v>386579.61999999994</v>
      </c>
      <c r="S25" s="44">
        <f>55130.19+90196.72+78982.7+50756.78+91549.34+36534.33+89305.76+65523.86+67343.38+358+26</f>
        <v>625707.06</v>
      </c>
      <c r="T25" s="18"/>
      <c r="U25" s="30"/>
      <c r="V25" s="44"/>
    </row>
    <row r="26" spans="1:22" ht="15" customHeight="1">
      <c r="A26" s="77" t="s">
        <v>9</v>
      </c>
      <c r="B26" s="77"/>
      <c r="C26" s="77"/>
      <c r="D26" s="15"/>
      <c r="E26" s="15"/>
      <c r="F26" s="16"/>
      <c r="G26" s="16"/>
      <c r="H26" s="15" t="s">
        <v>65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  <c r="V26" s="44"/>
    </row>
    <row r="27" spans="1:22" ht="8.25" customHeight="1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  <c r="V27" s="44"/>
    </row>
    <row r="28" spans="1:22" ht="8.25" customHeight="1">
      <c r="A28" s="15"/>
      <c r="B28" s="15"/>
      <c r="C28" s="15"/>
      <c r="D28" s="15"/>
      <c r="E28" s="15"/>
      <c r="F28" s="16"/>
      <c r="G28" s="16"/>
      <c r="H28" s="15"/>
      <c r="I28" s="15"/>
      <c r="J28" s="22"/>
      <c r="K28" s="15"/>
      <c r="L28" s="15"/>
      <c r="M28" s="15"/>
      <c r="N28" s="15"/>
      <c r="O28" s="15"/>
      <c r="P28" s="15"/>
      <c r="Q28" s="15"/>
      <c r="R28" s="15"/>
      <c r="S28" s="15"/>
      <c r="T28" s="18"/>
      <c r="U28" s="30"/>
      <c r="V28" s="44"/>
    </row>
    <row r="29" spans="1:22" ht="8.25" customHeight="1">
      <c r="A29" s="15"/>
      <c r="B29" s="15"/>
      <c r="C29" s="15"/>
      <c r="D29" s="15"/>
      <c r="E29" s="15"/>
      <c r="F29" s="16"/>
      <c r="G29" s="16"/>
      <c r="H29" s="15"/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  <c r="U29" s="30"/>
      <c r="V29" s="44"/>
    </row>
    <row r="30" spans="1:22" ht="8.25" customHeight="1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  <c r="U30" s="30"/>
      <c r="V30" s="44"/>
    </row>
    <row r="31" spans="1:22" ht="8.25" customHeight="1">
      <c r="A31" s="15"/>
      <c r="B31" s="15"/>
      <c r="C31" s="15"/>
      <c r="D31" s="15"/>
      <c r="E31" s="15"/>
      <c r="F31" s="16"/>
      <c r="G31" s="16"/>
      <c r="H31" s="15"/>
      <c r="I31" s="15"/>
      <c r="J31" s="22"/>
      <c r="K31" s="15"/>
      <c r="L31" s="15"/>
      <c r="M31" s="15"/>
      <c r="N31" s="15"/>
      <c r="O31" s="15"/>
      <c r="P31" s="15"/>
      <c r="Q31" s="15"/>
      <c r="R31" s="15"/>
      <c r="S31" s="15"/>
      <c r="T31" s="18"/>
      <c r="U31" s="30"/>
      <c r="V31" s="44"/>
    </row>
    <row r="32" spans="1:22" ht="12.75">
      <c r="A32" s="15">
        <v>1</v>
      </c>
      <c r="B32" s="76" t="s">
        <v>10</v>
      </c>
      <c r="C32" s="76"/>
      <c r="D32" s="76"/>
      <c r="E32" s="76"/>
      <c r="F32" s="71">
        <v>1054380</v>
      </c>
      <c r="G32" s="71"/>
      <c r="H32" s="22">
        <f>76554</f>
        <v>76554</v>
      </c>
      <c r="I32" s="22">
        <f>34343+13050+13050+2001+40000+72695-30000-2300-45977</f>
        <v>96862</v>
      </c>
      <c r="J32" s="22">
        <f>26100+8700+26100+71980-30000-10000-30000</f>
        <v>62880</v>
      </c>
      <c r="K32" s="34">
        <f>40824+60000+76272-68966</f>
        <v>108130</v>
      </c>
      <c r="L32" s="22">
        <f>11740+28900+14999+79054-33218-17240-3200</f>
        <v>81035</v>
      </c>
      <c r="M32" s="22">
        <f>10000+83422-11494-4000</f>
        <v>77928</v>
      </c>
      <c r="N32" s="22">
        <f>13886+28788+60001+3507+79753+6000-68966-4031-4000-6897</f>
        <v>108041</v>
      </c>
      <c r="O32" s="22">
        <f>1300+11000+82473.16-1494-12644-4000</f>
        <v>76635.16</v>
      </c>
      <c r="P32" s="22">
        <f>14087+18505+18793+105580-8046-46091-4000</f>
        <v>98828</v>
      </c>
      <c r="Q32" s="22">
        <f>13168+3500+14393.17+70727-4023-4000</f>
        <v>93765.17</v>
      </c>
      <c r="R32" s="22">
        <f>15130+11001+13001+77750-12644-14944-4000</f>
        <v>85294</v>
      </c>
      <c r="S32" s="22">
        <f>15234+26005+77946-29890-4000</f>
        <v>85295</v>
      </c>
      <c r="T32" s="31">
        <f>H32+I32+J32+K32+L32+M32+N32+O32+P32+Q32+R32+S32</f>
        <v>1051247.33</v>
      </c>
      <c r="U32" s="29"/>
      <c r="V32" s="44">
        <f>F32-T32</f>
        <v>3132.6699999999255</v>
      </c>
    </row>
    <row r="33" spans="1:22" ht="12.75">
      <c r="A33" s="15">
        <v>2</v>
      </c>
      <c r="B33" s="19" t="s">
        <v>64</v>
      </c>
      <c r="C33" s="19"/>
      <c r="D33" s="19"/>
      <c r="E33" s="19"/>
      <c r="F33" s="71">
        <v>30000</v>
      </c>
      <c r="G33" s="73"/>
      <c r="H33" s="15"/>
      <c r="I33" s="15"/>
      <c r="J33" s="17">
        <f>14200-8700</f>
        <v>5500</v>
      </c>
      <c r="K33" s="24"/>
      <c r="L33" s="15"/>
      <c r="M33" s="15"/>
      <c r="N33" s="15"/>
      <c r="O33" s="15"/>
      <c r="P33" s="15"/>
      <c r="Q33" s="15"/>
      <c r="R33" s="15"/>
      <c r="S33" s="15"/>
      <c r="T33" s="31">
        <f aca="true" t="shared" si="3" ref="T33:T86">H33+I33+J33+K33+L33+M33+N33+O33+P33+Q33+R33+S33</f>
        <v>5500</v>
      </c>
      <c r="U33" s="29"/>
      <c r="V33" s="44">
        <f t="shared" si="1"/>
        <v>24500</v>
      </c>
    </row>
    <row r="34" spans="1:22" ht="12.75">
      <c r="A34" s="15">
        <f>A33+1</f>
        <v>3</v>
      </c>
      <c r="B34" s="76" t="s">
        <v>11</v>
      </c>
      <c r="C34" s="76"/>
      <c r="D34" s="76"/>
      <c r="E34" s="76"/>
      <c r="F34" s="71">
        <v>318423</v>
      </c>
      <c r="G34" s="71"/>
      <c r="H34" s="22"/>
      <c r="I34" s="22">
        <f>2034+2402+4071+16423+2035+4977+8595+35953-9060-694.6-13885</f>
        <v>52850.399999999994</v>
      </c>
      <c r="J34" s="22">
        <f>-9060-3020-9060</f>
        <v>-21140</v>
      </c>
      <c r="K34" s="22">
        <f>4186+4454+7673+29860+1710+4381+7536+31771-20828</f>
        <v>70743</v>
      </c>
      <c r="L34" s="22">
        <f>3703+3936+6756+26410-10032-5206-966</f>
        <v>24601</v>
      </c>
      <c r="M34" s="22">
        <f>-3471-1208</f>
        <v>-4679</v>
      </c>
      <c r="N34" s="22">
        <f>2399+2951+5023+20246+2124+4813+8297+34642-20828-1217-1208-2083</f>
        <v>55159</v>
      </c>
      <c r="O34" s="22">
        <f>-451-3818-1208</f>
        <v>-5477</v>
      </c>
      <c r="P34" s="22">
        <f>143+1987+2997+5102+20999+273+28412-2430-13919-1208+2054+3982+6837</f>
        <v>55229</v>
      </c>
      <c r="Q34" s="22">
        <f>191+1813+2786+4728+19592-1215-1208</f>
        <v>26687</v>
      </c>
      <c r="R34" s="22">
        <f>220+2468+3230+5513+22283-3818-4513-1208</f>
        <v>24175</v>
      </c>
      <c r="S34" s="22">
        <f>214.95+1571.81+3162.88+5258.89+22896.48-9027-1208+18120</f>
        <v>40990.01</v>
      </c>
      <c r="T34" s="31">
        <f t="shared" si="3"/>
        <v>319138.41000000003</v>
      </c>
      <c r="U34" s="29"/>
      <c r="V34" s="44">
        <f t="shared" si="1"/>
        <v>-715.4100000000326</v>
      </c>
    </row>
    <row r="35" spans="1:22" ht="12.75" hidden="1">
      <c r="A35" s="15">
        <f aca="true" t="shared" si="4" ref="A35:A58">A34+1</f>
        <v>4</v>
      </c>
      <c r="B35" s="76" t="s">
        <v>113</v>
      </c>
      <c r="C35" s="76"/>
      <c r="D35" s="76"/>
      <c r="E35" s="76"/>
      <c r="F35" s="71"/>
      <c r="G35" s="7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1">
        <f t="shared" si="3"/>
        <v>0</v>
      </c>
      <c r="U35" s="29"/>
      <c r="V35" s="44">
        <f t="shared" si="1"/>
        <v>0</v>
      </c>
    </row>
    <row r="36" spans="1:22" ht="12.75">
      <c r="A36" s="15">
        <v>4</v>
      </c>
      <c r="B36" s="70" t="s">
        <v>117</v>
      </c>
      <c r="C36" s="70"/>
      <c r="D36" s="70"/>
      <c r="E36" s="70"/>
      <c r="F36" s="71">
        <v>10000</v>
      </c>
      <c r="G36" s="71"/>
      <c r="H36" s="15"/>
      <c r="I36" s="15"/>
      <c r="J36" s="22"/>
      <c r="K36" s="22"/>
      <c r="L36" s="15"/>
      <c r="M36" s="15"/>
      <c r="N36" s="15"/>
      <c r="O36" s="15"/>
      <c r="P36" s="15">
        <f>7628</f>
        <v>7628</v>
      </c>
      <c r="Q36" s="15"/>
      <c r="R36" s="15"/>
      <c r="S36" s="15"/>
      <c r="T36" s="31">
        <f t="shared" si="3"/>
        <v>7628</v>
      </c>
      <c r="U36" s="29"/>
      <c r="V36" s="44">
        <f t="shared" si="1"/>
        <v>2372</v>
      </c>
    </row>
    <row r="37" spans="1:22" ht="12.75">
      <c r="A37" s="15">
        <f t="shared" si="4"/>
        <v>5</v>
      </c>
      <c r="B37" s="70" t="s">
        <v>118</v>
      </c>
      <c r="C37" s="70"/>
      <c r="D37" s="70"/>
      <c r="E37" s="70"/>
      <c r="F37" s="71">
        <v>30000</v>
      </c>
      <c r="G37" s="71"/>
      <c r="H37" s="15">
        <v>444</v>
      </c>
      <c r="I37" s="15"/>
      <c r="J37" s="17">
        <v>469.38</v>
      </c>
      <c r="K37" s="22"/>
      <c r="L37" s="22">
        <v>25000</v>
      </c>
      <c r="M37" s="22"/>
      <c r="N37" s="22">
        <v>469.38</v>
      </c>
      <c r="O37" s="22"/>
      <c r="P37" s="22">
        <v>469.38</v>
      </c>
      <c r="Q37" s="22"/>
      <c r="R37" s="22"/>
      <c r="S37" s="22">
        <v>469.38</v>
      </c>
      <c r="T37" s="31">
        <f t="shared" si="3"/>
        <v>27321.520000000004</v>
      </c>
      <c r="U37" s="29"/>
      <c r="V37" s="44">
        <f t="shared" si="1"/>
        <v>2678.479999999996</v>
      </c>
    </row>
    <row r="38" spans="1:22" ht="12.75">
      <c r="A38" s="15">
        <f t="shared" si="4"/>
        <v>6</v>
      </c>
      <c r="B38" s="70" t="s">
        <v>119</v>
      </c>
      <c r="C38" s="70"/>
      <c r="D38" s="70"/>
      <c r="E38" s="70"/>
      <c r="F38" s="71">
        <v>90000</v>
      </c>
      <c r="G38" s="71"/>
      <c r="H38" s="22">
        <v>7476.56</v>
      </c>
      <c r="I38" s="22">
        <v>8446.62</v>
      </c>
      <c r="J38" s="22">
        <v>6293.56</v>
      </c>
      <c r="K38" s="22">
        <v>6293.56</v>
      </c>
      <c r="L38" s="22">
        <f>3271.84</f>
        <v>3271.84</v>
      </c>
      <c r="M38" s="22">
        <f>1051.18+4441.32</f>
        <v>5492.5</v>
      </c>
      <c r="N38" s="22">
        <v>3200.86</v>
      </c>
      <c r="O38" s="22">
        <v>10000</v>
      </c>
      <c r="P38" s="22">
        <v>5000</v>
      </c>
      <c r="Q38" s="22"/>
      <c r="R38" s="22">
        <v>5000</v>
      </c>
      <c r="S38" s="22">
        <f>5000+4000</f>
        <v>9000</v>
      </c>
      <c r="T38" s="31">
        <f t="shared" si="3"/>
        <v>69475.5</v>
      </c>
      <c r="U38" s="29"/>
      <c r="V38" s="44">
        <f t="shared" si="1"/>
        <v>20524.5</v>
      </c>
    </row>
    <row r="39" spans="1:22" ht="12.75">
      <c r="A39" s="15">
        <f t="shared" si="4"/>
        <v>7</v>
      </c>
      <c r="B39" s="70" t="s">
        <v>16</v>
      </c>
      <c r="C39" s="70"/>
      <c r="D39" s="70"/>
      <c r="E39" s="70"/>
      <c r="F39" s="71">
        <v>80000</v>
      </c>
      <c r="G39" s="71"/>
      <c r="H39" s="22">
        <f>1700+125+1550+1200+100+1000</f>
        <v>5675</v>
      </c>
      <c r="I39" s="22">
        <f>160+660+20+600+60+80+570+140+80+600+1300</f>
        <v>4270</v>
      </c>
      <c r="J39" s="22">
        <f>180+660+20+660+20+660+200+780+80+420+1300</f>
        <v>4980</v>
      </c>
      <c r="K39" s="22">
        <f>280+660+260+20+660+20+600+200+160+720+80+1300</f>
        <v>4960</v>
      </c>
      <c r="L39" s="22">
        <f>200+960+360+160+80+750+80+360+1300</f>
        <v>4250</v>
      </c>
      <c r="M39" s="22">
        <f>100+600+20+420+340+80+540+180+840+1300</f>
        <v>4420</v>
      </c>
      <c r="N39" s="22">
        <f>440+600+20+80+720+20+600+80+80+1300</f>
        <v>3940</v>
      </c>
      <c r="O39" s="22">
        <f>260+600+120+780+20+600+80+600+160+1300</f>
        <v>4520</v>
      </c>
      <c r="P39" s="22">
        <f>100+720+180+20+840+180+900+80+1300</f>
        <v>4320</v>
      </c>
      <c r="Q39" s="22">
        <f>500+600+40+840+20+1020+80+600+80+600+1300</f>
        <v>5680</v>
      </c>
      <c r="R39" s="22">
        <f>260+480+120+720+180+840+240+80+490+810</f>
        <v>4220</v>
      </c>
      <c r="S39" s="22">
        <f>20+720+40+600+660+180+780+500+80+600+240+490+810</f>
        <v>5720</v>
      </c>
      <c r="T39" s="31">
        <f t="shared" si="3"/>
        <v>56955</v>
      </c>
      <c r="U39" s="29"/>
      <c r="V39" s="44">
        <f t="shared" si="1"/>
        <v>23045</v>
      </c>
    </row>
    <row r="40" spans="1:22" ht="12.75">
      <c r="A40" s="15">
        <f t="shared" si="4"/>
        <v>8</v>
      </c>
      <c r="B40" s="70" t="s">
        <v>15</v>
      </c>
      <c r="C40" s="70"/>
      <c r="D40" s="70"/>
      <c r="E40" s="70"/>
      <c r="F40" s="71">
        <v>13000</v>
      </c>
      <c r="G40" s="71"/>
      <c r="H40" s="15">
        <f>24.15+772.66</f>
        <v>796.81</v>
      </c>
      <c r="I40" s="15">
        <f>44.44+646.52</f>
        <v>690.96</v>
      </c>
      <c r="J40" s="22">
        <f>992.95</f>
        <v>992.95</v>
      </c>
      <c r="K40" s="25">
        <f>786.93</f>
        <v>786.93</v>
      </c>
      <c r="L40" s="15">
        <f>801.82</f>
        <v>801.82</v>
      </c>
      <c r="M40" s="22">
        <v>953.97</v>
      </c>
      <c r="N40" s="15">
        <v>879.34</v>
      </c>
      <c r="O40" s="15">
        <v>785.62</v>
      </c>
      <c r="P40" s="22">
        <f>789.29</f>
        <v>789.29</v>
      </c>
      <c r="Q40" s="15">
        <f>2474.27</f>
        <v>2474.27</v>
      </c>
      <c r="R40" s="15">
        <f>950.24</f>
        <v>950.24</v>
      </c>
      <c r="S40" s="15"/>
      <c r="T40" s="31">
        <f t="shared" si="3"/>
        <v>10902.2</v>
      </c>
      <c r="U40" s="29"/>
      <c r="V40" s="44">
        <f t="shared" si="1"/>
        <v>2097.7999999999993</v>
      </c>
    </row>
    <row r="41" spans="1:22" ht="12.75">
      <c r="A41" s="15">
        <f t="shared" si="4"/>
        <v>9</v>
      </c>
      <c r="B41" s="70" t="s">
        <v>45</v>
      </c>
      <c r="C41" s="70"/>
      <c r="D41" s="70"/>
      <c r="E41" s="70"/>
      <c r="F41" s="74">
        <v>70000</v>
      </c>
      <c r="G41" s="74"/>
      <c r="H41" s="22"/>
      <c r="I41" s="15"/>
      <c r="J41" s="22">
        <f>2350</f>
        <v>2350</v>
      </c>
      <c r="K41" s="22">
        <f>14634.73</f>
        <v>14634.73</v>
      </c>
      <c r="L41" s="22">
        <f>650</f>
        <v>650</v>
      </c>
      <c r="M41" s="22"/>
      <c r="N41" s="22"/>
      <c r="O41" s="22">
        <f>1298.3</f>
        <v>1298.3</v>
      </c>
      <c r="P41" s="22"/>
      <c r="Q41" s="15"/>
      <c r="R41" s="22">
        <f>700</f>
        <v>700</v>
      </c>
      <c r="S41" s="22">
        <f>29263.37+21000</f>
        <v>50263.369999999995</v>
      </c>
      <c r="T41" s="31">
        <f t="shared" si="3"/>
        <v>69896.4</v>
      </c>
      <c r="U41" s="29"/>
      <c r="V41" s="44">
        <f t="shared" si="1"/>
        <v>103.60000000000582</v>
      </c>
    </row>
    <row r="42" spans="1:22" ht="12.75">
      <c r="A42" s="15">
        <f t="shared" si="4"/>
        <v>10</v>
      </c>
      <c r="B42" s="70" t="s">
        <v>46</v>
      </c>
      <c r="C42" s="70"/>
      <c r="D42" s="70"/>
      <c r="E42" s="70"/>
      <c r="F42" s="74">
        <v>10000</v>
      </c>
      <c r="G42" s="74"/>
      <c r="H42" s="22"/>
      <c r="I42" s="15"/>
      <c r="J42" s="17"/>
      <c r="K42" s="25"/>
      <c r="L42" s="15"/>
      <c r="M42" s="15"/>
      <c r="N42" s="15"/>
      <c r="O42" s="15"/>
      <c r="P42" s="22"/>
      <c r="Q42" s="15"/>
      <c r="R42" s="15"/>
      <c r="S42" s="15">
        <v>9500</v>
      </c>
      <c r="T42" s="31">
        <f t="shared" si="3"/>
        <v>9500</v>
      </c>
      <c r="U42" s="29"/>
      <c r="V42" s="44">
        <f t="shared" si="1"/>
        <v>500</v>
      </c>
    </row>
    <row r="43" spans="1:22" ht="12.75">
      <c r="A43" s="15">
        <f t="shared" si="4"/>
        <v>11</v>
      </c>
      <c r="B43" s="70" t="s">
        <v>109</v>
      </c>
      <c r="C43" s="70"/>
      <c r="D43" s="70"/>
      <c r="E43" s="70"/>
      <c r="F43" s="74">
        <v>120000</v>
      </c>
      <c r="G43" s="74"/>
      <c r="H43" s="15"/>
      <c r="I43" s="15">
        <f>2994.6</f>
        <v>2994.6</v>
      </c>
      <c r="J43" s="17">
        <v>13020</v>
      </c>
      <c r="K43" s="25"/>
      <c r="L43" s="15"/>
      <c r="M43" s="22">
        <f>14965</f>
        <v>14965</v>
      </c>
      <c r="N43" s="34">
        <f>5248+8980</f>
        <v>14228</v>
      </c>
      <c r="O43" s="34">
        <f>1945+16462</f>
        <v>18407</v>
      </c>
      <c r="P43" s="15">
        <f>10476</f>
        <v>10476</v>
      </c>
      <c r="Q43" s="15">
        <f>5238</f>
        <v>5238</v>
      </c>
      <c r="R43" s="15">
        <f>16462</f>
        <v>16462</v>
      </c>
      <c r="S43" s="15">
        <v>22000</v>
      </c>
      <c r="T43" s="31">
        <f t="shared" si="3"/>
        <v>117790.6</v>
      </c>
      <c r="U43" s="29"/>
      <c r="V43" s="44">
        <f t="shared" si="1"/>
        <v>2209.399999999994</v>
      </c>
    </row>
    <row r="44" spans="1:22" ht="12.75">
      <c r="A44" s="15">
        <f t="shared" si="4"/>
        <v>12</v>
      </c>
      <c r="B44" s="70" t="s">
        <v>133</v>
      </c>
      <c r="C44" s="70"/>
      <c r="D44" s="70"/>
      <c r="E44" s="70"/>
      <c r="F44" s="71">
        <v>54000</v>
      </c>
      <c r="G44" s="71"/>
      <c r="H44" s="15">
        <f>1857.32</f>
        <v>1857.32</v>
      </c>
      <c r="I44" s="15">
        <v>1857.32</v>
      </c>
      <c r="J44" s="17">
        <v>7023.36</v>
      </c>
      <c r="K44" s="25">
        <v>1857.32</v>
      </c>
      <c r="L44" s="15">
        <f>1857.32+5166.04</f>
        <v>7023.36</v>
      </c>
      <c r="M44" s="22">
        <f>1857.32+5166.04</f>
        <v>7023.36</v>
      </c>
      <c r="N44" s="15">
        <f>736.32+1857.32</f>
        <v>2593.64</v>
      </c>
      <c r="O44" s="15">
        <v>1857.32</v>
      </c>
      <c r="P44" s="15">
        <f>1121</f>
        <v>1121</v>
      </c>
      <c r="Q44" s="15"/>
      <c r="R44" s="15">
        <f>1857.32+1857.32</f>
        <v>3714.64</v>
      </c>
      <c r="S44" s="15">
        <v>1857.32</v>
      </c>
      <c r="T44" s="31">
        <f t="shared" si="3"/>
        <v>37785.96</v>
      </c>
      <c r="U44" s="29"/>
      <c r="V44" s="44">
        <f t="shared" si="1"/>
        <v>16214.04</v>
      </c>
    </row>
    <row r="45" spans="1:22" ht="12.75">
      <c r="A45" s="15">
        <f t="shared" si="4"/>
        <v>13</v>
      </c>
      <c r="B45" s="70" t="s">
        <v>48</v>
      </c>
      <c r="C45" s="70"/>
      <c r="D45" s="70"/>
      <c r="E45" s="70"/>
      <c r="F45" s="74">
        <v>70000</v>
      </c>
      <c r="G45" s="74"/>
      <c r="H45" s="15"/>
      <c r="I45" s="15"/>
      <c r="J45" s="17"/>
      <c r="K45" s="25"/>
      <c r="L45" s="15">
        <f>22446</f>
        <v>22446</v>
      </c>
      <c r="M45" s="15"/>
      <c r="N45" s="15"/>
      <c r="O45" s="15"/>
      <c r="P45" s="15"/>
      <c r="Q45" s="15"/>
      <c r="R45" s="15">
        <v>19457</v>
      </c>
      <c r="S45" s="15">
        <f>16500+15560</f>
        <v>32060</v>
      </c>
      <c r="T45" s="31">
        <f t="shared" si="3"/>
        <v>73963</v>
      </c>
      <c r="U45" s="29"/>
      <c r="V45" s="44">
        <f t="shared" si="1"/>
        <v>-3963</v>
      </c>
    </row>
    <row r="46" spans="1:22" ht="12.75">
      <c r="A46" s="15">
        <f t="shared" si="4"/>
        <v>14</v>
      </c>
      <c r="B46" s="70" t="s">
        <v>54</v>
      </c>
      <c r="C46" s="70"/>
      <c r="D46" s="70"/>
      <c r="E46" s="70"/>
      <c r="F46" s="71">
        <v>280000</v>
      </c>
      <c r="G46" s="71"/>
      <c r="H46" s="15"/>
      <c r="I46" s="22">
        <f>7964.37+11625.93</f>
        <v>19590.3</v>
      </c>
      <c r="J46" s="22">
        <f>7964.37+11625.93</f>
        <v>19590.3</v>
      </c>
      <c r="K46" s="22">
        <f>7964.37+11625.93+2724.57</f>
        <v>22314.87</v>
      </c>
      <c r="L46" s="22">
        <f>2724.57+7964.37+11625.93</f>
        <v>22314.870000000003</v>
      </c>
      <c r="M46" s="22">
        <f>7964.37+11625.93</f>
        <v>19590.3</v>
      </c>
      <c r="N46" s="22">
        <f>7964.37+11625.93</f>
        <v>19590.3</v>
      </c>
      <c r="O46" s="22">
        <f>8681.11+12672.17</f>
        <v>21353.28</v>
      </c>
      <c r="P46" s="15">
        <f>8681.11+12672.17</f>
        <v>21353.28</v>
      </c>
      <c r="Q46" s="22">
        <f>8681.11+12672.17</f>
        <v>21353.28</v>
      </c>
      <c r="R46" s="15">
        <f>8681.11+12672.17+8681.11+12672.17</f>
        <v>42706.56</v>
      </c>
      <c r="S46" s="22">
        <f>8681.11+12672.17</f>
        <v>21353.28</v>
      </c>
      <c r="T46" s="31">
        <f t="shared" si="3"/>
        <v>251110.62</v>
      </c>
      <c r="U46" s="29"/>
      <c r="V46" s="44">
        <f t="shared" si="1"/>
        <v>28889.380000000005</v>
      </c>
    </row>
    <row r="47" spans="1:22" ht="12.75">
      <c r="A47" s="15">
        <f t="shared" si="4"/>
        <v>15</v>
      </c>
      <c r="B47" s="70" t="s">
        <v>120</v>
      </c>
      <c r="C47" s="70"/>
      <c r="D47" s="70"/>
      <c r="E47" s="70"/>
      <c r="F47" s="74">
        <v>30000</v>
      </c>
      <c r="G47" s="74"/>
      <c r="H47" s="15"/>
      <c r="I47" s="15">
        <v>2500</v>
      </c>
      <c r="J47" s="17">
        <v>2500</v>
      </c>
      <c r="K47" s="25">
        <v>2500</v>
      </c>
      <c r="L47" s="15">
        <v>2500</v>
      </c>
      <c r="M47" s="15">
        <v>2500</v>
      </c>
      <c r="N47" s="15">
        <v>2500</v>
      </c>
      <c r="O47" s="15">
        <v>2500</v>
      </c>
      <c r="P47" s="15">
        <v>2500</v>
      </c>
      <c r="Q47" s="15">
        <v>2500</v>
      </c>
      <c r="R47" s="15">
        <v>2500</v>
      </c>
      <c r="S47" s="15">
        <v>2500</v>
      </c>
      <c r="T47" s="31">
        <f t="shared" si="3"/>
        <v>27500</v>
      </c>
      <c r="U47" s="29"/>
      <c r="V47" s="44">
        <f t="shared" si="1"/>
        <v>2500</v>
      </c>
    </row>
    <row r="48" spans="1:22" ht="12.75">
      <c r="A48" s="15">
        <f t="shared" si="4"/>
        <v>16</v>
      </c>
      <c r="B48" s="75" t="s">
        <v>110</v>
      </c>
      <c r="C48" s="75"/>
      <c r="D48" s="75"/>
      <c r="E48" s="75"/>
      <c r="F48" s="74">
        <v>60000</v>
      </c>
      <c r="G48" s="74"/>
      <c r="H48" s="15"/>
      <c r="I48" s="15"/>
      <c r="J48" s="17"/>
      <c r="K48" s="25"/>
      <c r="L48" s="15"/>
      <c r="M48" s="22"/>
      <c r="N48" s="15"/>
      <c r="O48" s="22"/>
      <c r="P48" s="22"/>
      <c r="Q48" s="15"/>
      <c r="R48" s="15"/>
      <c r="S48" s="15"/>
      <c r="T48" s="31">
        <f t="shared" si="3"/>
        <v>0</v>
      </c>
      <c r="U48" s="29"/>
      <c r="V48" s="44">
        <f t="shared" si="1"/>
        <v>60000</v>
      </c>
    </row>
    <row r="49" spans="1:22" ht="12.75">
      <c r="A49" s="15">
        <f t="shared" si="4"/>
        <v>17</v>
      </c>
      <c r="B49" s="70" t="s">
        <v>111</v>
      </c>
      <c r="C49" s="70"/>
      <c r="D49" s="70"/>
      <c r="E49" s="70"/>
      <c r="F49" s="71">
        <v>45000</v>
      </c>
      <c r="G49" s="71"/>
      <c r="H49" s="15"/>
      <c r="I49" s="15"/>
      <c r="J49" s="17"/>
      <c r="K49" s="25"/>
      <c r="L49" s="22"/>
      <c r="M49" s="15"/>
      <c r="N49" s="15"/>
      <c r="O49" s="15"/>
      <c r="P49" s="15"/>
      <c r="Q49" s="15"/>
      <c r="R49" s="15"/>
      <c r="S49" s="15">
        <f>49980</f>
        <v>49980</v>
      </c>
      <c r="T49" s="31">
        <f t="shared" si="3"/>
        <v>49980</v>
      </c>
      <c r="U49" s="29"/>
      <c r="V49" s="44">
        <f t="shared" si="1"/>
        <v>-4980</v>
      </c>
    </row>
    <row r="50" spans="1:22" ht="12.75" hidden="1">
      <c r="A50" s="15">
        <f t="shared" si="4"/>
        <v>18</v>
      </c>
      <c r="B50" s="21" t="s">
        <v>51</v>
      </c>
      <c r="C50" s="21"/>
      <c r="D50" s="21"/>
      <c r="E50" s="21"/>
      <c r="F50" s="71" t="s">
        <v>89</v>
      </c>
      <c r="G50" s="73"/>
      <c r="H50" s="22"/>
      <c r="I50" s="22"/>
      <c r="J50" s="17"/>
      <c r="K50" s="22"/>
      <c r="L50" s="15"/>
      <c r="M50" s="22"/>
      <c r="N50" s="22"/>
      <c r="O50" s="22"/>
      <c r="P50" s="22"/>
      <c r="Q50" s="22"/>
      <c r="R50" s="22"/>
      <c r="S50" s="22"/>
      <c r="T50" s="31">
        <f t="shared" si="3"/>
        <v>0</v>
      </c>
      <c r="U50" s="29"/>
      <c r="V50" s="44" t="e">
        <f t="shared" si="1"/>
        <v>#VALUE!</v>
      </c>
    </row>
    <row r="51" spans="1:22" ht="12.75">
      <c r="A51" s="15">
        <v>18</v>
      </c>
      <c r="B51" s="21" t="s">
        <v>112</v>
      </c>
      <c r="C51" s="21"/>
      <c r="D51" s="21"/>
      <c r="E51" s="21"/>
      <c r="F51" s="71">
        <v>7000</v>
      </c>
      <c r="G51" s="73"/>
      <c r="H51" s="15"/>
      <c r="I51" s="15"/>
      <c r="J51" s="22"/>
      <c r="K51" s="25"/>
      <c r="L51" s="15"/>
      <c r="M51" s="22"/>
      <c r="N51" s="15"/>
      <c r="O51" s="15"/>
      <c r="P51" s="22"/>
      <c r="Q51" s="15"/>
      <c r="R51" s="15"/>
      <c r="S51" s="22">
        <f>3326.4+3000</f>
        <v>6326.4</v>
      </c>
      <c r="T51" s="31">
        <f t="shared" si="3"/>
        <v>6326.4</v>
      </c>
      <c r="U51" s="29"/>
      <c r="V51" s="44">
        <f t="shared" si="1"/>
        <v>673.6000000000004</v>
      </c>
    </row>
    <row r="52" spans="1:22" ht="12.75">
      <c r="A52" s="15"/>
      <c r="B52" s="39"/>
      <c r="C52" s="40"/>
      <c r="D52" s="40"/>
      <c r="E52" s="41"/>
      <c r="F52" s="37"/>
      <c r="G52" s="42"/>
      <c r="H52" s="15"/>
      <c r="I52" s="15"/>
      <c r="J52" s="22"/>
      <c r="K52" s="25"/>
      <c r="L52" s="15"/>
      <c r="M52" s="22"/>
      <c r="N52" s="15"/>
      <c r="O52" s="15"/>
      <c r="P52" s="22"/>
      <c r="Q52" s="15"/>
      <c r="R52" s="15"/>
      <c r="S52" s="22"/>
      <c r="T52" s="31"/>
      <c r="U52" s="29"/>
      <c r="V52" s="44">
        <f t="shared" si="1"/>
        <v>0</v>
      </c>
    </row>
    <row r="53" spans="1:22" ht="12.75">
      <c r="A53" s="15"/>
      <c r="B53" s="82" t="s">
        <v>8</v>
      </c>
      <c r="C53" s="83"/>
      <c r="D53" s="83"/>
      <c r="E53" s="84"/>
      <c r="F53" s="85">
        <f>SUM(F32:F51)</f>
        <v>2371803</v>
      </c>
      <c r="G53" s="86"/>
      <c r="H53" s="15">
        <f aca="true" t="shared" si="5" ref="H53:T53">SUM(H32:H52)</f>
        <v>92803.69</v>
      </c>
      <c r="I53" s="15">
        <f t="shared" si="5"/>
        <v>190062.19999999998</v>
      </c>
      <c r="J53" s="15">
        <f t="shared" si="5"/>
        <v>104459.54999999999</v>
      </c>
      <c r="K53" s="15">
        <f t="shared" si="5"/>
        <v>232220.41</v>
      </c>
      <c r="L53" s="15">
        <f t="shared" si="5"/>
        <v>193893.88999999998</v>
      </c>
      <c r="M53" s="15">
        <f t="shared" si="5"/>
        <v>128194.13</v>
      </c>
      <c r="N53" s="15">
        <f t="shared" si="5"/>
        <v>210601.52</v>
      </c>
      <c r="O53" s="15">
        <f t="shared" si="5"/>
        <v>131879.68</v>
      </c>
      <c r="P53" s="15">
        <f t="shared" si="5"/>
        <v>207713.95</v>
      </c>
      <c r="Q53" s="15">
        <f t="shared" si="5"/>
        <v>157697.72</v>
      </c>
      <c r="R53" s="15">
        <f t="shared" si="5"/>
        <v>205179.44</v>
      </c>
      <c r="S53" s="44">
        <f t="shared" si="5"/>
        <v>337314.76</v>
      </c>
      <c r="T53" s="44">
        <f t="shared" si="5"/>
        <v>2192020.94</v>
      </c>
      <c r="U53" s="29"/>
      <c r="V53" s="44">
        <f t="shared" si="1"/>
        <v>179782.06000000006</v>
      </c>
    </row>
    <row r="54" spans="1:22" ht="12.75">
      <c r="A54" s="15"/>
      <c r="B54" s="39"/>
      <c r="C54" s="40"/>
      <c r="D54" s="40"/>
      <c r="E54" s="41"/>
      <c r="F54" s="37"/>
      <c r="G54" s="38"/>
      <c r="H54" s="15"/>
      <c r="I54" s="15"/>
      <c r="J54" s="22"/>
      <c r="K54" s="25"/>
      <c r="L54" s="15"/>
      <c r="M54" s="22"/>
      <c r="N54" s="15"/>
      <c r="O54" s="15"/>
      <c r="P54" s="22"/>
      <c r="Q54" s="15"/>
      <c r="R54" s="15"/>
      <c r="S54" s="22"/>
      <c r="T54" s="31"/>
      <c r="U54" s="29"/>
      <c r="V54" s="44">
        <f t="shared" si="1"/>
        <v>0</v>
      </c>
    </row>
    <row r="55" spans="1:22" ht="12.75">
      <c r="A55" s="15">
        <f>A51+1</f>
        <v>19</v>
      </c>
      <c r="B55" s="21" t="s">
        <v>121</v>
      </c>
      <c r="C55" s="21"/>
      <c r="D55" s="21"/>
      <c r="E55" s="21"/>
      <c r="F55" s="71">
        <v>70000</v>
      </c>
      <c r="G55" s="73"/>
      <c r="H55" s="15"/>
      <c r="I55" s="15"/>
      <c r="J55" s="17">
        <v>28542</v>
      </c>
      <c r="K55" s="25"/>
      <c r="L55" s="15"/>
      <c r="M55" s="15"/>
      <c r="N55" s="15">
        <v>52300</v>
      </c>
      <c r="O55" s="15"/>
      <c r="P55" s="15"/>
      <c r="Q55" s="15">
        <v>25317</v>
      </c>
      <c r="R55" s="15"/>
      <c r="S55" s="15"/>
      <c r="T55" s="31">
        <f t="shared" si="3"/>
        <v>106159</v>
      </c>
      <c r="U55" s="29"/>
      <c r="V55" s="44">
        <f t="shared" si="1"/>
        <v>-36159</v>
      </c>
    </row>
    <row r="56" spans="1:22" ht="12.75">
      <c r="A56" s="15">
        <f t="shared" si="4"/>
        <v>20</v>
      </c>
      <c r="B56" s="21" t="s">
        <v>122</v>
      </c>
      <c r="C56" s="21"/>
      <c r="D56" s="21"/>
      <c r="E56" s="21"/>
      <c r="F56" s="71">
        <v>18000</v>
      </c>
      <c r="G56" s="73"/>
      <c r="H56" s="22"/>
      <c r="I56" s="15"/>
      <c r="J56" s="22"/>
      <c r="K56" s="22">
        <v>4500</v>
      </c>
      <c r="L56" s="15"/>
      <c r="M56" s="22"/>
      <c r="N56" s="22">
        <v>4500</v>
      </c>
      <c r="O56" s="22"/>
      <c r="P56" s="22"/>
      <c r="Q56" s="22">
        <v>4500</v>
      </c>
      <c r="R56" s="22"/>
      <c r="S56" s="22">
        <v>4500</v>
      </c>
      <c r="T56" s="31">
        <f t="shared" si="3"/>
        <v>18000</v>
      </c>
      <c r="U56" s="29"/>
      <c r="V56" s="44">
        <f t="shared" si="1"/>
        <v>0</v>
      </c>
    </row>
    <row r="57" spans="1:22" ht="12.75">
      <c r="A57" s="15">
        <f t="shared" si="4"/>
        <v>21</v>
      </c>
      <c r="B57" s="21" t="s">
        <v>123</v>
      </c>
      <c r="C57" s="21"/>
      <c r="D57" s="21"/>
      <c r="E57" s="21"/>
      <c r="F57" s="71">
        <v>310000</v>
      </c>
      <c r="G57" s="73"/>
      <c r="H57" s="15"/>
      <c r="I57" s="15">
        <v>59862</v>
      </c>
      <c r="J57" s="17"/>
      <c r="K57" s="25">
        <v>89794</v>
      </c>
      <c r="L57" s="15"/>
      <c r="M57" s="15"/>
      <c r="N57" s="15">
        <v>89794</v>
      </c>
      <c r="O57" s="22"/>
      <c r="P57" s="15">
        <v>60010</v>
      </c>
      <c r="Q57" s="15"/>
      <c r="R57" s="22"/>
      <c r="S57" s="15">
        <f>58674-47000</f>
        <v>11674</v>
      </c>
      <c r="T57" s="31">
        <f t="shared" si="3"/>
        <v>311134</v>
      </c>
      <c r="U57" s="29"/>
      <c r="V57" s="44">
        <f t="shared" si="1"/>
        <v>-1134</v>
      </c>
    </row>
    <row r="58" spans="1:22" ht="12.75">
      <c r="A58" s="15">
        <f t="shared" si="4"/>
        <v>22</v>
      </c>
      <c r="B58" s="21" t="s">
        <v>124</v>
      </c>
      <c r="C58" s="21"/>
      <c r="D58" s="21"/>
      <c r="E58" s="21"/>
      <c r="F58" s="71">
        <v>50000</v>
      </c>
      <c r="G58" s="73"/>
      <c r="H58" s="22"/>
      <c r="I58" s="22"/>
      <c r="J58" s="22"/>
      <c r="K58" s="22"/>
      <c r="L58" s="22"/>
      <c r="M58" s="22"/>
      <c r="N58" s="22"/>
      <c r="O58" s="22"/>
      <c r="P58" s="15"/>
      <c r="Q58" s="22"/>
      <c r="R58" s="22"/>
      <c r="S58" s="22">
        <f>38917+18970</f>
        <v>57887</v>
      </c>
      <c r="T58" s="31">
        <f t="shared" si="3"/>
        <v>57887</v>
      </c>
      <c r="U58" s="29"/>
      <c r="V58" s="44">
        <f t="shared" si="1"/>
        <v>-7887</v>
      </c>
    </row>
    <row r="59" spans="1:22" ht="12.75">
      <c r="A59" s="15">
        <v>23</v>
      </c>
      <c r="B59" s="21" t="s">
        <v>125</v>
      </c>
      <c r="C59" s="21"/>
      <c r="D59" s="21"/>
      <c r="E59" s="21"/>
      <c r="F59" s="85">
        <v>200000</v>
      </c>
      <c r="G59" s="86"/>
      <c r="H59" s="22"/>
      <c r="I59" s="22"/>
      <c r="J59" s="22"/>
      <c r="K59" s="22"/>
      <c r="L59" s="22"/>
      <c r="M59" s="22"/>
      <c r="N59" s="22"/>
      <c r="O59" s="22">
        <v>154047</v>
      </c>
      <c r="P59" s="15"/>
      <c r="Q59" s="22"/>
      <c r="R59" s="22"/>
      <c r="S59" s="22">
        <v>50450</v>
      </c>
      <c r="T59" s="31">
        <f t="shared" si="3"/>
        <v>204497</v>
      </c>
      <c r="U59" s="29"/>
      <c r="V59" s="44">
        <f t="shared" si="1"/>
        <v>-4497</v>
      </c>
    </row>
    <row r="60" spans="1:22" ht="12.75">
      <c r="A60" s="15">
        <v>24</v>
      </c>
      <c r="B60" s="39" t="s">
        <v>126</v>
      </c>
      <c r="C60" s="40"/>
      <c r="D60" s="40"/>
      <c r="E60" s="41"/>
      <c r="F60" s="85">
        <v>100000</v>
      </c>
      <c r="G60" s="86"/>
      <c r="H60" s="22"/>
      <c r="I60" s="22"/>
      <c r="J60" s="22">
        <v>39060</v>
      </c>
      <c r="K60" s="22"/>
      <c r="L60" s="22">
        <f>43250+4166</f>
        <v>47416</v>
      </c>
      <c r="M60" s="22">
        <f>5208</f>
        <v>5208</v>
      </c>
      <c r="N60" s="22">
        <v>5208</v>
      </c>
      <c r="O60" s="22">
        <v>5208</v>
      </c>
      <c r="P60" s="15">
        <v>5208</v>
      </c>
      <c r="Q60" s="22">
        <v>5208</v>
      </c>
      <c r="R60" s="22">
        <v>5208</v>
      </c>
      <c r="S60" s="22">
        <v>5208</v>
      </c>
      <c r="T60" s="31">
        <f t="shared" si="3"/>
        <v>122932</v>
      </c>
      <c r="U60" s="29"/>
      <c r="V60" s="44">
        <f t="shared" si="1"/>
        <v>-22932</v>
      </c>
    </row>
    <row r="61" spans="1:22" ht="12.75">
      <c r="A61" s="15">
        <v>25</v>
      </c>
      <c r="B61" s="39" t="s">
        <v>127</v>
      </c>
      <c r="C61" s="40"/>
      <c r="D61" s="40"/>
      <c r="E61" s="41"/>
      <c r="F61" s="85">
        <v>360000</v>
      </c>
      <c r="G61" s="86"/>
      <c r="H61" s="22"/>
      <c r="I61" s="22">
        <f>39060</f>
        <v>39060</v>
      </c>
      <c r="J61" s="22">
        <v>39060</v>
      </c>
      <c r="K61" s="22">
        <v>30000</v>
      </c>
      <c r="L61" s="22">
        <v>30000</v>
      </c>
      <c r="M61" s="22">
        <f>30000+45000</f>
        <v>75000</v>
      </c>
      <c r="N61" s="22"/>
      <c r="O61" s="22">
        <v>15000</v>
      </c>
      <c r="P61" s="15">
        <f>30000</f>
        <v>30000</v>
      </c>
      <c r="Q61" s="22">
        <f>30000+30000</f>
        <v>60000</v>
      </c>
      <c r="R61" s="22">
        <v>30000</v>
      </c>
      <c r="S61" s="22">
        <f>30000-18120</f>
        <v>11880</v>
      </c>
      <c r="T61" s="31">
        <f t="shared" si="3"/>
        <v>360000</v>
      </c>
      <c r="U61" s="29"/>
      <c r="V61" s="44">
        <f t="shared" si="1"/>
        <v>0</v>
      </c>
    </row>
    <row r="62" spans="1:22" ht="12.75">
      <c r="A62" s="15">
        <v>26</v>
      </c>
      <c r="B62" s="57" t="s">
        <v>114</v>
      </c>
      <c r="C62" s="58"/>
      <c r="D62" s="58"/>
      <c r="E62" s="59"/>
      <c r="F62" s="85">
        <v>60000</v>
      </c>
      <c r="G62" s="86"/>
      <c r="H62" s="22"/>
      <c r="I62" s="22"/>
      <c r="J62" s="22"/>
      <c r="K62" s="22">
        <f>20000+40000</f>
        <v>60000</v>
      </c>
      <c r="L62" s="22"/>
      <c r="M62" s="22"/>
      <c r="N62" s="22"/>
      <c r="O62" s="22"/>
      <c r="P62" s="15"/>
      <c r="Q62" s="22"/>
      <c r="R62" s="22"/>
      <c r="S62" s="22"/>
      <c r="T62" s="31">
        <f t="shared" si="3"/>
        <v>60000</v>
      </c>
      <c r="U62" s="29"/>
      <c r="V62" s="44">
        <f t="shared" si="1"/>
        <v>0</v>
      </c>
    </row>
    <row r="63" spans="1:22" ht="12.75">
      <c r="A63" s="15">
        <v>27</v>
      </c>
      <c r="B63" s="57" t="s">
        <v>115</v>
      </c>
      <c r="C63" s="58"/>
      <c r="D63" s="58"/>
      <c r="E63" s="59"/>
      <c r="F63" s="85">
        <v>46000</v>
      </c>
      <c r="G63" s="86"/>
      <c r="H63" s="22">
        <v>46000</v>
      </c>
      <c r="I63" s="22"/>
      <c r="J63" s="22"/>
      <c r="K63" s="22"/>
      <c r="L63" s="22"/>
      <c r="M63" s="22"/>
      <c r="N63" s="22"/>
      <c r="O63" s="22"/>
      <c r="P63" s="15"/>
      <c r="Q63" s="22">
        <v>3000</v>
      </c>
      <c r="R63" s="22"/>
      <c r="S63" s="22"/>
      <c r="T63" s="31">
        <f t="shared" si="3"/>
        <v>49000</v>
      </c>
      <c r="U63" s="29"/>
      <c r="V63" s="44">
        <f t="shared" si="1"/>
        <v>-3000</v>
      </c>
    </row>
    <row r="64" spans="1:22" ht="12.75">
      <c r="A64" s="15"/>
      <c r="B64" s="72" t="s">
        <v>8</v>
      </c>
      <c r="C64" s="72"/>
      <c r="D64" s="72"/>
      <c r="E64" s="72"/>
      <c r="F64" s="71">
        <f>SUM(F55:F63)</f>
        <v>1214000</v>
      </c>
      <c r="G64" s="73"/>
      <c r="H64" s="26">
        <f aca="true" t="shared" si="6" ref="H64:T64">SUM(H55:H63)</f>
        <v>46000</v>
      </c>
      <c r="I64" s="26">
        <f t="shared" si="6"/>
        <v>98922</v>
      </c>
      <c r="J64" s="26">
        <f t="shared" si="6"/>
        <v>106662</v>
      </c>
      <c r="K64" s="26">
        <f t="shared" si="6"/>
        <v>184294</v>
      </c>
      <c r="L64" s="26">
        <f t="shared" si="6"/>
        <v>77416</v>
      </c>
      <c r="M64" s="26">
        <f t="shared" si="6"/>
        <v>80208</v>
      </c>
      <c r="N64" s="26">
        <f t="shared" si="6"/>
        <v>151802</v>
      </c>
      <c r="O64" s="26">
        <f t="shared" si="6"/>
        <v>174255</v>
      </c>
      <c r="P64" s="26">
        <f t="shared" si="6"/>
        <v>95218</v>
      </c>
      <c r="Q64" s="26">
        <f t="shared" si="6"/>
        <v>98025</v>
      </c>
      <c r="R64" s="26">
        <f t="shared" si="6"/>
        <v>35208</v>
      </c>
      <c r="S64" s="26">
        <f t="shared" si="6"/>
        <v>141599</v>
      </c>
      <c r="T64" s="26">
        <f t="shared" si="6"/>
        <v>1289609</v>
      </c>
      <c r="U64" s="29">
        <f>SUM(U32:U58)</f>
        <v>0</v>
      </c>
      <c r="V64" s="44">
        <f t="shared" si="1"/>
        <v>-75609</v>
      </c>
    </row>
    <row r="65" spans="1:22" ht="12.75" hidden="1">
      <c r="A65" s="15"/>
      <c r="B65" s="15"/>
      <c r="C65" s="15"/>
      <c r="D65" s="15"/>
      <c r="E65" s="15"/>
      <c r="F65" s="16"/>
      <c r="G65" s="1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31">
        <f t="shared" si="3"/>
        <v>0</v>
      </c>
      <c r="V65" s="44">
        <f t="shared" si="1"/>
        <v>0</v>
      </c>
    </row>
    <row r="66" spans="1:22" ht="12.75" hidden="1">
      <c r="A66" s="15"/>
      <c r="B66" s="15"/>
      <c r="C66" s="15"/>
      <c r="D66" s="15"/>
      <c r="E66" s="15"/>
      <c r="F66" s="16"/>
      <c r="G66" s="16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31">
        <f t="shared" si="3"/>
        <v>0</v>
      </c>
      <c r="V66" s="44">
        <f t="shared" si="1"/>
        <v>0</v>
      </c>
    </row>
    <row r="67" spans="1:22" ht="12.75">
      <c r="A67" s="15"/>
      <c r="B67" s="15"/>
      <c r="C67" s="15"/>
      <c r="D67" s="15"/>
      <c r="E67" s="15"/>
      <c r="F67" s="16"/>
      <c r="G67" s="1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31" t="s">
        <v>89</v>
      </c>
      <c r="V67" s="15"/>
    </row>
    <row r="68" spans="1:22" ht="12.75">
      <c r="A68" s="15"/>
      <c r="B68" s="16" t="s">
        <v>128</v>
      </c>
      <c r="C68" s="15"/>
      <c r="D68" s="15"/>
      <c r="E68" s="15"/>
      <c r="F68" s="85">
        <f>F53+F64</f>
        <v>3585803</v>
      </c>
      <c r="G68" s="62"/>
      <c r="H68" s="15">
        <f aca="true" t="shared" si="7" ref="H68:T68">H53+H64</f>
        <v>138803.69</v>
      </c>
      <c r="I68" s="15">
        <f t="shared" si="7"/>
        <v>288984.19999999995</v>
      </c>
      <c r="J68" s="15">
        <f t="shared" si="7"/>
        <v>211121.55</v>
      </c>
      <c r="K68" s="15">
        <f t="shared" si="7"/>
        <v>416514.41000000003</v>
      </c>
      <c r="L68" s="15">
        <f t="shared" si="7"/>
        <v>271309.89</v>
      </c>
      <c r="M68" s="15">
        <f t="shared" si="7"/>
        <v>208402.13</v>
      </c>
      <c r="N68" s="15">
        <f t="shared" si="7"/>
        <v>362403.52</v>
      </c>
      <c r="O68" s="44">
        <f t="shared" si="7"/>
        <v>306134.68</v>
      </c>
      <c r="P68" s="44">
        <f t="shared" si="7"/>
        <v>302931.95</v>
      </c>
      <c r="Q68" s="44">
        <f t="shared" si="7"/>
        <v>255722.72</v>
      </c>
      <c r="R68" s="44">
        <f t="shared" si="7"/>
        <v>240387.44</v>
      </c>
      <c r="S68" s="44">
        <f>S53+S64</f>
        <v>478913.76</v>
      </c>
      <c r="T68" s="31">
        <f t="shared" si="7"/>
        <v>3481629.94</v>
      </c>
      <c r="V68" s="15"/>
    </row>
    <row r="69" spans="1:20" ht="12.75">
      <c r="A69" s="15"/>
      <c r="B69" s="15"/>
      <c r="C69" s="15"/>
      <c r="D69" s="15"/>
      <c r="E69" s="15"/>
      <c r="F69" s="16"/>
      <c r="G69" s="1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31" t="s">
        <v>89</v>
      </c>
    </row>
    <row r="70" spans="1:20" ht="12.75">
      <c r="A70" s="15"/>
      <c r="B70" s="15"/>
      <c r="C70" s="15"/>
      <c r="D70" s="15"/>
      <c r="E70" s="15"/>
      <c r="F70" s="16"/>
      <c r="G70" s="16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31" t="s">
        <v>89</v>
      </c>
    </row>
    <row r="71" spans="1:20" ht="12.75">
      <c r="A71" s="15"/>
      <c r="B71" s="15" t="s">
        <v>62</v>
      </c>
      <c r="C71" s="15"/>
      <c r="D71" s="15"/>
      <c r="E71" s="15"/>
      <c r="F71" s="60" t="s">
        <v>57</v>
      </c>
      <c r="G71" s="61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31" t="s">
        <v>89</v>
      </c>
    </row>
    <row r="72" spans="1:20" ht="12.75">
      <c r="A72" s="15"/>
      <c r="B72" s="15"/>
      <c r="C72" s="15"/>
      <c r="D72" s="15"/>
      <c r="E72" s="15"/>
      <c r="F72" s="60" t="s">
        <v>63</v>
      </c>
      <c r="G72" s="61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31" t="s">
        <v>89</v>
      </c>
    </row>
    <row r="73" spans="1:21" s="10" customFormat="1" ht="12.75">
      <c r="A73" s="28"/>
      <c r="B73" s="28"/>
      <c r="C73" s="28"/>
      <c r="D73" s="28"/>
      <c r="E73" s="28"/>
      <c r="F73" s="28"/>
      <c r="G73" s="28"/>
      <c r="H73" s="28">
        <f aca="true" t="shared" si="8" ref="H73:S73">H24-H64</f>
        <v>211316.81</v>
      </c>
      <c r="I73" s="28">
        <f t="shared" si="8"/>
        <v>141147.59000000003</v>
      </c>
      <c r="J73" s="28">
        <f t="shared" si="8"/>
        <v>130034.41999999998</v>
      </c>
      <c r="K73" s="28">
        <f t="shared" si="8"/>
        <v>46154.56</v>
      </c>
      <c r="L73" s="28">
        <f t="shared" si="8"/>
        <v>134901.06999999998</v>
      </c>
      <c r="M73" s="28">
        <f t="shared" si="8"/>
        <v>158453.09</v>
      </c>
      <c r="N73" s="28">
        <f t="shared" si="8"/>
        <v>171654.43</v>
      </c>
      <c r="O73" s="28">
        <f t="shared" si="8"/>
        <v>62454.389999999985</v>
      </c>
      <c r="P73" s="28">
        <f t="shared" si="8"/>
        <v>181834.13</v>
      </c>
      <c r="Q73" s="28">
        <f t="shared" si="8"/>
        <v>235492.60000000003</v>
      </c>
      <c r="R73" s="28">
        <f t="shared" si="8"/>
        <v>204141.73</v>
      </c>
      <c r="S73" s="28">
        <f t="shared" si="8"/>
        <v>194983.03999999998</v>
      </c>
      <c r="T73" s="31" t="s">
        <v>89</v>
      </c>
      <c r="U73" s="12"/>
    </row>
    <row r="74" spans="2:20" ht="12.75">
      <c r="B74" t="s">
        <v>58</v>
      </c>
      <c r="E74" t="s">
        <v>59</v>
      </c>
      <c r="F74" s="8" t="s">
        <v>60</v>
      </c>
      <c r="T74" s="31" t="s">
        <v>89</v>
      </c>
    </row>
    <row r="75" ht="12.75">
      <c r="T75" s="31" t="s">
        <v>89</v>
      </c>
    </row>
    <row r="76" spans="2:20" ht="12.75" hidden="1">
      <c r="B76" t="s">
        <v>85</v>
      </c>
      <c r="L76" t="s">
        <v>89</v>
      </c>
      <c r="T76" s="31" t="e">
        <f t="shared" si="3"/>
        <v>#VALUE!</v>
      </c>
    </row>
    <row r="77" spans="2:20" ht="12.75" hidden="1">
      <c r="B77" t="s">
        <v>94</v>
      </c>
      <c r="J77">
        <v>13500</v>
      </c>
      <c r="L77">
        <v>4500</v>
      </c>
      <c r="N77">
        <v>4500</v>
      </c>
      <c r="O77">
        <v>9800</v>
      </c>
      <c r="P77">
        <v>5300</v>
      </c>
      <c r="Q77">
        <v>5300</v>
      </c>
      <c r="R77">
        <v>5300</v>
      </c>
      <c r="S77">
        <f>5300</f>
        <v>5300</v>
      </c>
      <c r="T77" s="31">
        <f t="shared" si="3"/>
        <v>53500</v>
      </c>
    </row>
    <row r="78" spans="2:20" ht="12.75" hidden="1">
      <c r="B78" t="s">
        <v>132</v>
      </c>
      <c r="I78">
        <v>50000</v>
      </c>
      <c r="T78" s="31">
        <f t="shared" si="3"/>
        <v>50000</v>
      </c>
    </row>
    <row r="79" spans="2:20" ht="12.75" hidden="1">
      <c r="B79" t="s">
        <v>75</v>
      </c>
      <c r="H79" s="3"/>
      <c r="I79" s="3"/>
      <c r="L79" s="3"/>
      <c r="M79">
        <v>800</v>
      </c>
      <c r="N79" s="3"/>
      <c r="Q79" s="3"/>
      <c r="T79" s="31">
        <f t="shared" si="3"/>
        <v>800</v>
      </c>
    </row>
    <row r="80" spans="2:20" ht="12.75" hidden="1">
      <c r="B80" t="s">
        <v>77</v>
      </c>
      <c r="H80" s="22">
        <v>40858.54</v>
      </c>
      <c r="I80" s="22">
        <v>70107.42</v>
      </c>
      <c r="J80" s="22">
        <v>50449.07</v>
      </c>
      <c r="K80" s="22">
        <v>61742.65</v>
      </c>
      <c r="L80" s="22">
        <v>66947.32</v>
      </c>
      <c r="M80" s="22">
        <v>66235.32</v>
      </c>
      <c r="N80" s="22">
        <v>64238.57</v>
      </c>
      <c r="O80" s="22">
        <v>68393.43</v>
      </c>
      <c r="P80" s="22">
        <v>64495.9</v>
      </c>
      <c r="Q80" s="22">
        <v>64655.49</v>
      </c>
      <c r="R80" s="22">
        <v>58445.34</v>
      </c>
      <c r="S80" s="22">
        <v>64696.05</v>
      </c>
      <c r="T80" s="50">
        <f t="shared" si="3"/>
        <v>741265.1</v>
      </c>
    </row>
    <row r="81" spans="2:20" ht="12.75" hidden="1">
      <c r="B81" t="s">
        <v>78</v>
      </c>
      <c r="H81" s="22">
        <v>293140.33</v>
      </c>
      <c r="I81" s="22">
        <v>311780.78</v>
      </c>
      <c r="J81" s="22">
        <v>433530.69</v>
      </c>
      <c r="K81" s="22">
        <v>335557.98</v>
      </c>
      <c r="L81" s="34">
        <v>232656.95</v>
      </c>
      <c r="M81" s="22">
        <v>93060.18</v>
      </c>
      <c r="N81" s="22">
        <v>79241.83</v>
      </c>
      <c r="O81" s="22">
        <v>41983.54</v>
      </c>
      <c r="P81" s="22">
        <v>80911.87</v>
      </c>
      <c r="Q81" s="22">
        <v>96062.15</v>
      </c>
      <c r="R81" s="34">
        <v>231593.03</v>
      </c>
      <c r="S81" s="34">
        <v>339760.92</v>
      </c>
      <c r="T81" s="50">
        <f t="shared" si="3"/>
        <v>2569280.2499999995</v>
      </c>
    </row>
    <row r="82" spans="2:20" ht="12.75" hidden="1">
      <c r="B82" t="s">
        <v>79</v>
      </c>
      <c r="H82" s="15">
        <v>8949.6</v>
      </c>
      <c r="I82" s="22">
        <v>9527.1</v>
      </c>
      <c r="J82" s="22">
        <v>9082.92</v>
      </c>
      <c r="K82" s="22">
        <v>9527.1</v>
      </c>
      <c r="L82" s="22">
        <v>9315.24</v>
      </c>
      <c r="M82" s="22">
        <v>9183.9</v>
      </c>
      <c r="N82" s="22">
        <v>9140.34</v>
      </c>
      <c r="O82" s="22">
        <v>10676.09</v>
      </c>
      <c r="P82" s="22">
        <f>10330.37</f>
        <v>10330.37</v>
      </c>
      <c r="Q82" s="22">
        <v>10429.8</v>
      </c>
      <c r="R82" s="22">
        <v>10153.9</v>
      </c>
      <c r="S82" s="22">
        <v>10233.98</v>
      </c>
      <c r="T82" s="50">
        <f t="shared" si="3"/>
        <v>116550.33999999998</v>
      </c>
    </row>
    <row r="83" spans="2:20" ht="12.75" hidden="1">
      <c r="B83" t="s">
        <v>80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22"/>
      <c r="S83" s="15"/>
      <c r="T83" s="50">
        <f t="shared" si="3"/>
        <v>0</v>
      </c>
    </row>
    <row r="84" spans="2:20" ht="12.75" hidden="1">
      <c r="B84" t="s">
        <v>81</v>
      </c>
      <c r="H84" s="22"/>
      <c r="I84" s="15"/>
      <c r="J84" s="22"/>
      <c r="K84" s="15">
        <v>13800</v>
      </c>
      <c r="L84" s="15"/>
      <c r="M84" s="15"/>
      <c r="N84" s="22">
        <v>13800</v>
      </c>
      <c r="O84" s="15"/>
      <c r="P84" s="15"/>
      <c r="Q84" s="22">
        <v>13800</v>
      </c>
      <c r="R84" s="15"/>
      <c r="S84" s="22">
        <v>13800</v>
      </c>
      <c r="T84" s="50">
        <f t="shared" si="3"/>
        <v>55200</v>
      </c>
    </row>
    <row r="85" spans="2:20" ht="12.75" hidden="1">
      <c r="B85" t="s">
        <v>131</v>
      </c>
      <c r="H85" s="15"/>
      <c r="I85" s="15">
        <v>3300</v>
      </c>
      <c r="J85" s="15"/>
      <c r="K85" s="22"/>
      <c r="L85" s="15"/>
      <c r="M85" s="15"/>
      <c r="N85" s="15"/>
      <c r="O85" s="15"/>
      <c r="P85" s="15"/>
      <c r="Q85" s="15"/>
      <c r="R85" s="15"/>
      <c r="S85" s="15"/>
      <c r="T85" s="50">
        <f t="shared" si="3"/>
        <v>3300</v>
      </c>
    </row>
    <row r="86" spans="2:20" ht="12.75" hidden="1">
      <c r="B86" t="s">
        <v>84</v>
      </c>
      <c r="H86" s="15"/>
      <c r="I86" s="15"/>
      <c r="J86" s="15"/>
      <c r="K86" s="15"/>
      <c r="L86" s="15"/>
      <c r="M86" s="22"/>
      <c r="N86" s="15"/>
      <c r="O86" s="15"/>
      <c r="P86" s="15"/>
      <c r="Q86" s="15"/>
      <c r="R86" s="15"/>
      <c r="S86" s="15"/>
      <c r="T86" s="50">
        <f t="shared" si="3"/>
        <v>0</v>
      </c>
    </row>
    <row r="87" spans="2:20" ht="12.75" hidden="1">
      <c r="B87" t="s">
        <v>100</v>
      </c>
      <c r="H87" s="26"/>
      <c r="I87" s="26"/>
      <c r="J87" s="26"/>
      <c r="K87" s="26"/>
      <c r="L87" s="15"/>
      <c r="M87" s="15"/>
      <c r="N87" s="15"/>
      <c r="O87" s="15"/>
      <c r="P87" s="15"/>
      <c r="Q87" s="15"/>
      <c r="R87" s="22"/>
      <c r="S87" s="22"/>
      <c r="T87" s="11">
        <f>H87+I87+J87+K87+L87+M87+N87+O87+P87+Q87+R87+S87</f>
        <v>0</v>
      </c>
    </row>
    <row r="88" spans="2:20" ht="12.75" hidden="1">
      <c r="B88" t="s">
        <v>82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1">
        <f>H88+I88+J88+K88+L88+M88+N88+O88+P88+Q88+R88+S88</f>
        <v>0</v>
      </c>
    </row>
    <row r="89" spans="8:20" ht="12.75" hidden="1">
      <c r="H89" s="51">
        <f>H79+H80+H81+H68+H82</f>
        <v>481752.16</v>
      </c>
      <c r="I89" s="52">
        <f>I68+I80+I81+I82+I79+I78+I85</f>
        <v>733699.4999999999</v>
      </c>
      <c r="J89" s="51">
        <f>J68+J80+J81+J82+J84+J77</f>
        <v>717684.2300000001</v>
      </c>
      <c r="K89" s="52">
        <f>K68+K80+K81+K82+K85+K84</f>
        <v>837142.14</v>
      </c>
      <c r="L89" s="52">
        <f>L68+L79+L80+L81+L82+L77</f>
        <v>584729.4</v>
      </c>
      <c r="M89" s="52">
        <f>M68+M80+M81+M82+M86+M79</f>
        <v>377681.53</v>
      </c>
      <c r="N89" s="52">
        <f>N68+N80+N81+N82+N86+N79+N84+N77</f>
        <v>533324.26</v>
      </c>
      <c r="O89" s="52">
        <f>O68+O80+O81+O82+O77</f>
        <v>436987.74</v>
      </c>
      <c r="P89" s="52">
        <f>P68+P80+P81+P82+P77</f>
        <v>463970.09</v>
      </c>
      <c r="Q89" s="52">
        <f>Q68+Q79+Q80+Q81+Q82+Q84+Q77</f>
        <v>445970.16</v>
      </c>
      <c r="R89" s="52">
        <f>R68+R80+R81+R82+R83+R87+R77</f>
        <v>545879.7100000001</v>
      </c>
      <c r="S89" s="52">
        <f>SUM(S77:S88)+S68</f>
        <v>912704.71</v>
      </c>
      <c r="T89" s="35">
        <f>T68+T79+T80+T81+T82+T83+T84+T85+T86</f>
        <v>6968025.629999999</v>
      </c>
    </row>
    <row r="90" spans="2:19" ht="12.75" hidden="1">
      <c r="B90" s="14" t="s">
        <v>91</v>
      </c>
      <c r="H90" s="15">
        <f>114985.12+56996.34</f>
        <v>171981.46</v>
      </c>
      <c r="I90" s="15">
        <f>147996.53+85847.31</f>
        <v>233843.84</v>
      </c>
      <c r="J90" s="15">
        <f>188326.12+150284.03</f>
        <v>338610.15</v>
      </c>
      <c r="K90" s="15">
        <f>140378.44+85589.13</f>
        <v>225967.57</v>
      </c>
      <c r="L90" s="15">
        <f>145923.33+94415.9</f>
        <v>240339.22999999998</v>
      </c>
      <c r="M90" s="15">
        <f>155616.25+103708.34</f>
        <v>259324.59</v>
      </c>
      <c r="N90" s="15">
        <f>143863.03+87394.87</f>
        <v>231257.9</v>
      </c>
      <c r="O90" s="15">
        <f>169217.54+91454.6+5599.34</f>
        <v>266271.48000000004</v>
      </c>
      <c r="P90" s="15">
        <f>164498.67+91823.46+358.95</f>
        <v>256681.08000000002</v>
      </c>
      <c r="Q90" s="15"/>
      <c r="R90" s="15"/>
      <c r="S90" s="15"/>
    </row>
    <row r="91" spans="2:19" ht="12.75" hidden="1">
      <c r="B91" s="14" t="s">
        <v>92</v>
      </c>
      <c r="H91" s="15">
        <f>23935.84+14795.63</f>
        <v>38731.47</v>
      </c>
      <c r="I91" s="15">
        <f>34884.83+22227.83</f>
        <v>57112.66</v>
      </c>
      <c r="J91" s="15">
        <f>58322.53+38254.18</f>
        <v>96576.70999999999</v>
      </c>
      <c r="K91" s="15">
        <f>35495.69+21939.11</f>
        <v>57434.8</v>
      </c>
      <c r="L91" s="15">
        <f>45788.24+24219.69</f>
        <v>70007.93</v>
      </c>
      <c r="M91" s="15">
        <f>44979.67+26698.9</f>
        <v>71678.57</v>
      </c>
      <c r="N91" s="15">
        <f>35829.15+22581.34+0.69+0.73</f>
        <v>58411.91000000001</v>
      </c>
      <c r="O91" s="15">
        <f>38454.7+23553.85+317.05+792.66+1960.18</f>
        <v>65078.44</v>
      </c>
      <c r="P91" s="15">
        <f>39001.69+23962.56+112.66+47.5+218.98</f>
        <v>63343.39000000001</v>
      </c>
      <c r="Q91" s="15"/>
      <c r="R91" s="15"/>
      <c r="S91" s="15"/>
    </row>
    <row r="92" spans="2:19" ht="12.75" hidden="1">
      <c r="B92" t="s">
        <v>93</v>
      </c>
      <c r="H92" s="15">
        <f>4968.67+2334.42</f>
        <v>7303.09</v>
      </c>
      <c r="I92" s="15">
        <f>7524.62+569.65</f>
        <v>8094.2699999999995</v>
      </c>
      <c r="J92" s="15">
        <f>11967.55+214.64</f>
        <v>12182.189999999999</v>
      </c>
      <c r="K92" s="15">
        <f>7222.21+449.5</f>
        <v>7671.71</v>
      </c>
      <c r="L92" s="15">
        <f>8007.25+623.7</f>
        <v>8630.95</v>
      </c>
      <c r="M92" s="15">
        <f>8902.75+178.2</f>
        <v>9080.95</v>
      </c>
      <c r="N92" s="15">
        <f>6407.31+2180.33</f>
        <v>8587.64</v>
      </c>
      <c r="O92" s="15">
        <f>8749.98+1085.54</f>
        <v>9835.52</v>
      </c>
      <c r="P92" s="15">
        <f>6428.63+3206.23</f>
        <v>9634.86</v>
      </c>
      <c r="Q92" s="15"/>
      <c r="R92" s="15"/>
      <c r="S92" s="15"/>
    </row>
    <row r="93" spans="2:19" ht="12.75" hidden="1">
      <c r="B93" t="s">
        <v>94</v>
      </c>
      <c r="H93" s="15">
        <v>2918.32</v>
      </c>
      <c r="I93" s="15">
        <v>4077.45</v>
      </c>
      <c r="J93" s="15">
        <v>5608.29</v>
      </c>
      <c r="K93" s="15">
        <v>3823.23</v>
      </c>
      <c r="L93" s="15">
        <v>4117.83</v>
      </c>
      <c r="M93" s="15">
        <v>4564.5</v>
      </c>
      <c r="N93" s="15">
        <v>4284.26</v>
      </c>
      <c r="O93" s="15">
        <v>4654.11</v>
      </c>
      <c r="P93" s="15">
        <v>4444.75</v>
      </c>
      <c r="Q93" s="15"/>
      <c r="R93" s="15"/>
      <c r="S93" s="15"/>
    </row>
    <row r="94" spans="2:19" ht="12.75" hidden="1">
      <c r="B94" t="s">
        <v>95</v>
      </c>
      <c r="H94" s="15">
        <v>225.7</v>
      </c>
      <c r="I94" s="15">
        <v>478.81</v>
      </c>
      <c r="J94" s="15">
        <v>866.33</v>
      </c>
      <c r="K94" s="15">
        <v>719.81</v>
      </c>
      <c r="L94" s="15">
        <v>749.8</v>
      </c>
      <c r="M94" s="15">
        <v>795.55</v>
      </c>
      <c r="N94" s="15">
        <v>775.09</v>
      </c>
      <c r="O94" s="15">
        <v>885.25</v>
      </c>
      <c r="P94" s="15">
        <v>854.24</v>
      </c>
      <c r="Q94" s="15"/>
      <c r="R94" s="15"/>
      <c r="S94" s="15"/>
    </row>
    <row r="95" spans="2:19" ht="12.75" hidden="1">
      <c r="B95" t="s">
        <v>81</v>
      </c>
      <c r="H95" s="15"/>
      <c r="I95" s="15">
        <v>-63.06</v>
      </c>
      <c r="J95" s="15">
        <v>160</v>
      </c>
      <c r="K95" s="15">
        <v>140</v>
      </c>
      <c r="L95" s="15">
        <v>20</v>
      </c>
      <c r="M95" s="15">
        <v>98.89</v>
      </c>
      <c r="N95" s="15">
        <v>80</v>
      </c>
      <c r="O95" s="15">
        <v>60</v>
      </c>
      <c r="P95" s="15">
        <v>31</v>
      </c>
      <c r="Q95" s="15"/>
      <c r="R95" s="15"/>
      <c r="S95" s="15"/>
    </row>
    <row r="96" spans="2:19" ht="12.75" hidden="1">
      <c r="B96" t="s">
        <v>96</v>
      </c>
      <c r="H96" s="15">
        <v>1474.48</v>
      </c>
      <c r="I96" s="15">
        <v>2061.58</v>
      </c>
      <c r="J96" s="15">
        <v>3091.7</v>
      </c>
      <c r="K96" s="15">
        <v>1964.91</v>
      </c>
      <c r="L96" s="15">
        <v>2139.95</v>
      </c>
      <c r="M96" s="15">
        <v>2528.4</v>
      </c>
      <c r="N96" s="15">
        <v>1976.47</v>
      </c>
      <c r="O96" s="15">
        <v>2399.13</v>
      </c>
      <c r="P96" s="15">
        <v>1990.42</v>
      </c>
      <c r="Q96" s="15"/>
      <c r="R96" s="15"/>
      <c r="S96" s="15"/>
    </row>
    <row r="97" spans="2:19" ht="12.75" hidden="1">
      <c r="B97" t="s">
        <v>97</v>
      </c>
      <c r="H97" s="15">
        <v>70.77</v>
      </c>
      <c r="I97" s="15">
        <v>11.38</v>
      </c>
      <c r="J97" s="15">
        <v>-53.35</v>
      </c>
      <c r="K97" s="15">
        <v>-14.67</v>
      </c>
      <c r="L97" s="15">
        <v>-23.24</v>
      </c>
      <c r="M97" s="15">
        <v>33.18</v>
      </c>
      <c r="N97" s="15">
        <v>-6.68</v>
      </c>
      <c r="O97" s="15">
        <v>2.53</v>
      </c>
      <c r="P97" s="15"/>
      <c r="Q97" s="15"/>
      <c r="R97" s="15"/>
      <c r="S97" s="15"/>
    </row>
    <row r="98" spans="2:19" ht="12.75" hidden="1">
      <c r="B98" t="s">
        <v>98</v>
      </c>
      <c r="H98" s="15">
        <v>31808.97</v>
      </c>
      <c r="I98" s="15">
        <v>17629.48</v>
      </c>
      <c r="J98" s="44">
        <v>-20147.75</v>
      </c>
      <c r="K98" s="15">
        <v>-678.46</v>
      </c>
      <c r="L98" s="15">
        <v>-6682.79</v>
      </c>
      <c r="M98" s="15">
        <v>10791.77</v>
      </c>
      <c r="N98" s="15">
        <v>-1300.78</v>
      </c>
      <c r="O98" s="15">
        <v>-1805.91</v>
      </c>
      <c r="P98" s="15">
        <v>-9527.06</v>
      </c>
      <c r="Q98" s="15"/>
      <c r="R98" s="15"/>
      <c r="S98" s="15"/>
    </row>
    <row r="99" spans="2:19" ht="12.75" hidden="1">
      <c r="B99" t="s">
        <v>99</v>
      </c>
      <c r="H99" s="15">
        <v>-2554.81</v>
      </c>
      <c r="I99" s="15">
        <v>660.13</v>
      </c>
      <c r="J99" s="15">
        <v>3067.43</v>
      </c>
      <c r="K99" s="15">
        <v>-306.46</v>
      </c>
      <c r="L99" s="15">
        <v>-680.8</v>
      </c>
      <c r="M99" s="15">
        <v>-471.43</v>
      </c>
      <c r="N99" s="15">
        <v>-1077.1</v>
      </c>
      <c r="O99" s="15">
        <v>90.78</v>
      </c>
      <c r="P99" s="15">
        <v>-537.98</v>
      </c>
      <c r="Q99" s="15"/>
      <c r="R99" s="15"/>
      <c r="S99" s="15"/>
    </row>
    <row r="100" spans="8:19" ht="12.75"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8:19" ht="12.75"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8:19" ht="12.75"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8:19" ht="12.75"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8:19" ht="12.75"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</sheetData>
  <mergeCells count="75">
    <mergeCell ref="A12:J12"/>
    <mergeCell ref="A13:K13"/>
    <mergeCell ref="A15:C15"/>
    <mergeCell ref="B17:E17"/>
    <mergeCell ref="F17:G17"/>
    <mergeCell ref="B18:E18"/>
    <mergeCell ref="F18:G18"/>
    <mergeCell ref="B19:E19"/>
    <mergeCell ref="F19:G19"/>
    <mergeCell ref="B21:E21"/>
    <mergeCell ref="F21:G21"/>
    <mergeCell ref="B22:E22"/>
    <mergeCell ref="F22:G22"/>
    <mergeCell ref="F23:G23"/>
    <mergeCell ref="B24:E24"/>
    <mergeCell ref="F24:G24"/>
    <mergeCell ref="A26:C26"/>
    <mergeCell ref="B32:E32"/>
    <mergeCell ref="F32:G32"/>
    <mergeCell ref="F33:G33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B43:E43"/>
    <mergeCell ref="F43:G43"/>
    <mergeCell ref="B44:E44"/>
    <mergeCell ref="F44:G44"/>
    <mergeCell ref="F47:G47"/>
    <mergeCell ref="B48:E48"/>
    <mergeCell ref="F48:G48"/>
    <mergeCell ref="B45:E45"/>
    <mergeCell ref="F45:G45"/>
    <mergeCell ref="B46:E46"/>
    <mergeCell ref="F46:G46"/>
    <mergeCell ref="F55:G55"/>
    <mergeCell ref="F56:G56"/>
    <mergeCell ref="F57:G57"/>
    <mergeCell ref="F58:G58"/>
    <mergeCell ref="B64:E64"/>
    <mergeCell ref="F64:G64"/>
    <mergeCell ref="F71:G71"/>
    <mergeCell ref="F72:G72"/>
    <mergeCell ref="F68:G68"/>
    <mergeCell ref="F59:G59"/>
    <mergeCell ref="B62:E62"/>
    <mergeCell ref="B63:E63"/>
    <mergeCell ref="F62:G62"/>
    <mergeCell ref="F63:G63"/>
    <mergeCell ref="F60:G60"/>
    <mergeCell ref="F61:G61"/>
    <mergeCell ref="A3:V3"/>
    <mergeCell ref="A2:V2"/>
    <mergeCell ref="B53:E53"/>
    <mergeCell ref="F53:G53"/>
    <mergeCell ref="A9:V9"/>
    <mergeCell ref="B49:E49"/>
    <mergeCell ref="F49:G49"/>
    <mergeCell ref="F50:G50"/>
    <mergeCell ref="F51:G51"/>
    <mergeCell ref="B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8"/>
  <sheetViews>
    <sheetView tabSelected="1" workbookViewId="0" topLeftCell="A37">
      <selection activeCell="A1" sqref="A1:IV1"/>
    </sheetView>
  </sheetViews>
  <sheetFormatPr defaultColWidth="9.00390625" defaultRowHeight="12.75"/>
  <cols>
    <col min="1" max="1" width="9.875" style="0" customWidth="1"/>
    <col min="2" max="2" width="7.25390625" style="0" customWidth="1"/>
    <col min="5" max="5" width="15.875" style="0" customWidth="1"/>
    <col min="6" max="6" width="9.50390625" style="8" bestFit="1" customWidth="1"/>
    <col min="7" max="7" width="5.25390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9.50390625" style="0" hidden="1" customWidth="1"/>
    <col min="13" max="13" width="9.75390625" style="0" hidden="1" customWidth="1"/>
    <col min="14" max="14" width="10.50390625" style="0" hidden="1" customWidth="1"/>
    <col min="15" max="15" width="9.50390625" style="0" hidden="1" customWidth="1"/>
    <col min="16" max="16" width="9.625" style="0" hidden="1" customWidth="1"/>
    <col min="17" max="19" width="9.50390625" style="0" hidden="1" customWidth="1"/>
    <col min="20" max="20" width="11.50390625" style="11" hidden="1" customWidth="1"/>
    <col min="21" max="21" width="10.625" style="13" hidden="1" customWidth="1"/>
    <col min="22" max="22" width="11.875" style="0" hidden="1" customWidth="1"/>
  </cols>
  <sheetData>
    <row r="1" ht="12.75" hidden="1"/>
    <row r="2" spans="1:23" ht="24">
      <c r="A2" s="80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67"/>
    </row>
    <row r="3" spans="1:22" ht="24">
      <c r="A3" s="80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5" spans="1:6" ht="12.75">
      <c r="A5" t="s">
        <v>31</v>
      </c>
      <c r="F5" s="8" t="s">
        <v>32</v>
      </c>
    </row>
    <row r="6" spans="1:6" ht="12.75">
      <c r="A6" t="s">
        <v>159</v>
      </c>
      <c r="F6" s="8" t="s">
        <v>34</v>
      </c>
    </row>
    <row r="7" spans="1:6" ht="12.75">
      <c r="A7" t="s">
        <v>40</v>
      </c>
      <c r="F7" s="8" t="s">
        <v>35</v>
      </c>
    </row>
    <row r="8" ht="12.75">
      <c r="F8" s="8" t="s">
        <v>36</v>
      </c>
    </row>
    <row r="9" spans="1:24" ht="12.75">
      <c r="A9" s="56" t="s">
        <v>129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ht="12.75">
      <c r="A10" s="6" t="s">
        <v>39</v>
      </c>
    </row>
    <row r="11" ht="12.75" hidden="1"/>
    <row r="12" spans="1:10" ht="21">
      <c r="A12" s="78" t="s">
        <v>0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1" ht="15">
      <c r="A13" s="79" t="s">
        <v>135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ht="12.75">
      <c r="J14" s="3"/>
    </row>
    <row r="15" spans="1:20" ht="17.25">
      <c r="A15" s="77" t="s">
        <v>2</v>
      </c>
      <c r="B15" s="77"/>
      <c r="C15" s="77"/>
      <c r="D15" s="15"/>
      <c r="E15" s="15"/>
      <c r="F15" s="16"/>
      <c r="G15" s="16" t="s">
        <v>105</v>
      </c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0" ht="12.75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2" ht="12.75">
      <c r="A17" s="15">
        <v>1</v>
      </c>
      <c r="B17" s="76" t="s">
        <v>3</v>
      </c>
      <c r="C17" s="76"/>
      <c r="D17" s="76"/>
      <c r="E17" s="76"/>
      <c r="F17" s="71">
        <v>1359000</v>
      </c>
      <c r="G17" s="71"/>
      <c r="H17" s="15"/>
      <c r="I17" s="15"/>
      <c r="J17" s="17"/>
      <c r="K17" s="15"/>
      <c r="L17" s="15"/>
      <c r="M17" s="15"/>
      <c r="N17" s="15"/>
      <c r="O17" s="44"/>
      <c r="P17" s="44"/>
      <c r="Q17" s="44"/>
      <c r="R17" s="15"/>
      <c r="S17" s="15"/>
      <c r="T17" s="31">
        <f>H17+I17+J17+K17+L17+M17+N17+O17+P17+Q17+R17+S17</f>
        <v>0</v>
      </c>
      <c r="U17" s="36">
        <f>F17-T17</f>
        <v>1359000</v>
      </c>
      <c r="V17" s="44"/>
    </row>
    <row r="18" spans="1:22" ht="12.75">
      <c r="A18" s="15">
        <v>2</v>
      </c>
      <c r="B18" s="76" t="s">
        <v>4</v>
      </c>
      <c r="C18" s="76"/>
      <c r="D18" s="76"/>
      <c r="E18" s="76"/>
      <c r="F18" s="71">
        <v>2088280</v>
      </c>
      <c r="G18" s="71"/>
      <c r="H18" s="15"/>
      <c r="I18" s="15"/>
      <c r="J18" s="17"/>
      <c r="K18" s="15"/>
      <c r="L18" s="15"/>
      <c r="M18" s="15"/>
      <c r="N18" s="15"/>
      <c r="O18" s="15"/>
      <c r="P18" s="44"/>
      <c r="Q18" s="44"/>
      <c r="R18" s="15"/>
      <c r="S18" s="15"/>
      <c r="T18" s="31">
        <f aca="true" t="shared" si="0" ref="T18:T24">H18+I18+J18+K18+L18+M18+N18+O18+P18+Q18+R18+S18</f>
        <v>0</v>
      </c>
      <c r="U18" s="36"/>
      <c r="V18" s="44"/>
    </row>
    <row r="19" spans="1:22" ht="12.75">
      <c r="A19" s="15">
        <v>3</v>
      </c>
      <c r="B19" s="76" t="s">
        <v>5</v>
      </c>
      <c r="C19" s="76"/>
      <c r="D19" s="76"/>
      <c r="E19" s="76"/>
      <c r="F19" s="71">
        <v>266000</v>
      </c>
      <c r="G19" s="71"/>
      <c r="H19" s="15"/>
      <c r="I19" s="15"/>
      <c r="J19" s="17"/>
      <c r="K19" s="15"/>
      <c r="L19" s="15"/>
      <c r="M19" s="15"/>
      <c r="N19" s="15"/>
      <c r="O19" s="15"/>
      <c r="P19" s="44"/>
      <c r="Q19" s="44"/>
      <c r="R19" s="15"/>
      <c r="S19" s="15"/>
      <c r="T19" s="31">
        <f t="shared" si="0"/>
        <v>0</v>
      </c>
      <c r="U19" s="36"/>
      <c r="V19" s="44"/>
    </row>
    <row r="20" spans="1:22" ht="12.75" hidden="1">
      <c r="A20" s="15">
        <v>4</v>
      </c>
      <c r="B20" s="19" t="s">
        <v>43</v>
      </c>
      <c r="C20" s="19"/>
      <c r="D20" s="19"/>
      <c r="E20" s="19"/>
      <c r="F20" s="20"/>
      <c r="G20" s="20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/>
      <c r="T20" s="31">
        <f t="shared" si="0"/>
        <v>0</v>
      </c>
      <c r="U20" s="36"/>
      <c r="V20" s="44"/>
    </row>
    <row r="21" spans="1:22" ht="12.75">
      <c r="A21" s="15">
        <v>4</v>
      </c>
      <c r="B21" s="70" t="s">
        <v>6</v>
      </c>
      <c r="C21" s="70"/>
      <c r="D21" s="70"/>
      <c r="E21" s="70"/>
      <c r="F21" s="71">
        <v>6000</v>
      </c>
      <c r="G21" s="71"/>
      <c r="H21" s="15"/>
      <c r="I21" s="15"/>
      <c r="J21" s="17"/>
      <c r="K21" s="15"/>
      <c r="L21" s="15"/>
      <c r="M21" s="15"/>
      <c r="N21" s="15"/>
      <c r="O21" s="44"/>
      <c r="P21" s="44"/>
      <c r="Q21" s="44"/>
      <c r="R21" s="15"/>
      <c r="S21" s="15"/>
      <c r="T21" s="31">
        <f t="shared" si="0"/>
        <v>0</v>
      </c>
      <c r="U21" s="36"/>
      <c r="V21" s="44"/>
    </row>
    <row r="22" spans="1:22" ht="12.75">
      <c r="A22" s="15">
        <v>5</v>
      </c>
      <c r="B22" s="70" t="s">
        <v>136</v>
      </c>
      <c r="C22" s="70"/>
      <c r="D22" s="70"/>
      <c r="E22" s="70"/>
      <c r="F22" s="71">
        <v>66015.65</v>
      </c>
      <c r="G22" s="71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/>
      <c r="T22" s="31">
        <v>0</v>
      </c>
      <c r="U22" s="36"/>
      <c r="V22" s="44"/>
    </row>
    <row r="23" spans="1:22" ht="12.75">
      <c r="A23" s="15">
        <v>6</v>
      </c>
      <c r="B23" s="21" t="s">
        <v>137</v>
      </c>
      <c r="C23" s="21"/>
      <c r="D23" s="21"/>
      <c r="E23" s="21"/>
      <c r="F23" s="71">
        <v>1538937.39</v>
      </c>
      <c r="G23" s="71"/>
      <c r="H23" s="15"/>
      <c r="I23" s="15"/>
      <c r="J23" s="22"/>
      <c r="K23" s="15"/>
      <c r="L23" s="15"/>
      <c r="M23" s="15"/>
      <c r="N23" s="15"/>
      <c r="O23" s="15"/>
      <c r="P23" s="44"/>
      <c r="Q23" s="44"/>
      <c r="R23" s="15"/>
      <c r="S23" s="15"/>
      <c r="T23" s="31">
        <v>0</v>
      </c>
      <c r="U23" s="36"/>
      <c r="V23" s="44"/>
    </row>
    <row r="24" spans="1:22" ht="12.75">
      <c r="A24" s="15"/>
      <c r="B24" s="72" t="s">
        <v>8</v>
      </c>
      <c r="C24" s="72"/>
      <c r="D24" s="72"/>
      <c r="E24" s="72"/>
      <c r="F24" s="71">
        <f>SUM(F17:F21)</f>
        <v>3719280</v>
      </c>
      <c r="G24" s="71"/>
      <c r="H24" s="23">
        <f>SUM(H17:H23)</f>
        <v>0</v>
      </c>
      <c r="I24" s="23">
        <f>SUM(I17:I23)</f>
        <v>0</v>
      </c>
      <c r="J24" s="23">
        <f>SUM(J17:J23)</f>
        <v>0</v>
      </c>
      <c r="K24" s="23">
        <f>SUM(K17:K23)</f>
        <v>0</v>
      </c>
      <c r="L24" s="23">
        <f>SUM(L17:L23)</f>
        <v>0</v>
      </c>
      <c r="M24" s="45"/>
      <c r="N24" s="23"/>
      <c r="O24" s="45"/>
      <c r="P24" s="45"/>
      <c r="Q24" s="45"/>
      <c r="R24" s="23"/>
      <c r="S24" s="45"/>
      <c r="T24" s="31">
        <f t="shared" si="0"/>
        <v>0</v>
      </c>
      <c r="U24" s="36">
        <f>F24-T24</f>
        <v>3719280</v>
      </c>
      <c r="V24" s="44">
        <f>SUM(V17:V23)</f>
        <v>0</v>
      </c>
    </row>
    <row r="25" spans="1:22" ht="12.75" hidden="1">
      <c r="A25" s="15"/>
      <c r="B25" s="15" t="s">
        <v>134</v>
      </c>
      <c r="C25" s="15"/>
      <c r="D25" s="15"/>
      <c r="E25" s="15"/>
      <c r="F25" s="16"/>
      <c r="G25" s="16"/>
      <c r="H25" s="15"/>
      <c r="I25" s="15"/>
      <c r="J25" s="22"/>
      <c r="K25" s="15"/>
      <c r="L25" s="15"/>
      <c r="M25" s="15"/>
      <c r="N25" s="15"/>
      <c r="O25" s="44"/>
      <c r="P25" s="44"/>
      <c r="Q25" s="44"/>
      <c r="R25" s="15"/>
      <c r="S25" s="44"/>
      <c r="T25" s="18"/>
      <c r="U25" s="30"/>
      <c r="V25" s="44"/>
    </row>
    <row r="26" spans="1:22" ht="17.25">
      <c r="A26" s="77" t="s">
        <v>9</v>
      </c>
      <c r="B26" s="77"/>
      <c r="C26" s="77"/>
      <c r="D26" s="15"/>
      <c r="E26" s="15"/>
      <c r="F26" s="16"/>
      <c r="G26" s="16"/>
      <c r="H26" s="15" t="s">
        <v>65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  <c r="V26" s="44"/>
    </row>
    <row r="27" spans="1:22" ht="12.75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  <c r="V27" s="44"/>
    </row>
    <row r="28" spans="1:22" ht="12.75">
      <c r="A28" s="48" t="s">
        <v>138</v>
      </c>
      <c r="B28" s="87" t="s">
        <v>139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88"/>
    </row>
    <row r="29" spans="1:22" ht="12.75" hidden="1">
      <c r="A29" s="15"/>
      <c r="B29" s="15"/>
      <c r="C29" s="15"/>
      <c r="D29" s="15"/>
      <c r="E29" s="15"/>
      <c r="F29" s="16"/>
      <c r="G29" s="16"/>
      <c r="H29" s="15"/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  <c r="U29" s="30"/>
      <c r="V29" s="44"/>
    </row>
    <row r="30" spans="1:22" ht="12.75" hidden="1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  <c r="U30" s="30"/>
      <c r="V30" s="44"/>
    </row>
    <row r="31" spans="1:22" ht="12.75">
      <c r="A31" s="16">
        <v>1</v>
      </c>
      <c r="B31" s="89" t="s">
        <v>140</v>
      </c>
      <c r="C31" s="90"/>
      <c r="D31" s="90"/>
      <c r="E31" s="62"/>
      <c r="F31" s="16"/>
      <c r="G31" s="16"/>
      <c r="H31" s="15"/>
      <c r="I31" s="15"/>
      <c r="J31" s="22"/>
      <c r="K31" s="15"/>
      <c r="L31" s="15"/>
      <c r="M31" s="15"/>
      <c r="N31" s="15"/>
      <c r="O31" s="15"/>
      <c r="P31" s="15"/>
      <c r="Q31" s="15"/>
      <c r="R31" s="15"/>
      <c r="S31" s="15"/>
      <c r="T31" s="18"/>
      <c r="U31" s="30"/>
      <c r="V31" s="44"/>
    </row>
    <row r="32" spans="1:22" ht="12.75">
      <c r="A32" s="49">
        <v>1.1</v>
      </c>
      <c r="B32" s="76" t="s">
        <v>141</v>
      </c>
      <c r="C32" s="76"/>
      <c r="D32" s="76"/>
      <c r="E32" s="76"/>
      <c r="F32" s="71">
        <v>526040</v>
      </c>
      <c r="G32" s="71"/>
      <c r="H32" s="22"/>
      <c r="I32" s="22"/>
      <c r="J32" s="22"/>
      <c r="K32" s="34"/>
      <c r="L32" s="22"/>
      <c r="M32" s="22"/>
      <c r="N32" s="22"/>
      <c r="O32" s="22"/>
      <c r="P32" s="22"/>
      <c r="Q32" s="22"/>
      <c r="R32" s="22"/>
      <c r="S32" s="22"/>
      <c r="T32" s="31">
        <f aca="true" t="shared" si="1" ref="T32:T41">H32+I32+J32+K32+L32+M32+N32+O32+P32+Q32+R32+S32</f>
        <v>0</v>
      </c>
      <c r="U32" s="29"/>
      <c r="V32" s="44"/>
    </row>
    <row r="33" spans="1:22" ht="12.75">
      <c r="A33" s="15">
        <v>1.2</v>
      </c>
      <c r="B33" s="19" t="s">
        <v>142</v>
      </c>
      <c r="C33" s="19"/>
      <c r="D33" s="19"/>
      <c r="E33" s="19"/>
      <c r="F33" s="71">
        <v>212000</v>
      </c>
      <c r="G33" s="73"/>
      <c r="H33" s="15"/>
      <c r="I33" s="15"/>
      <c r="J33" s="17"/>
      <c r="K33" s="24"/>
      <c r="L33" s="15"/>
      <c r="M33" s="15"/>
      <c r="N33" s="15"/>
      <c r="O33" s="15"/>
      <c r="P33" s="15"/>
      <c r="Q33" s="15"/>
      <c r="R33" s="15"/>
      <c r="S33" s="15"/>
      <c r="T33" s="31">
        <f t="shared" si="1"/>
        <v>0</v>
      </c>
      <c r="U33" s="29"/>
      <c r="V33" s="44"/>
    </row>
    <row r="34" spans="1:22" ht="12.75">
      <c r="A34" s="15">
        <v>1.3</v>
      </c>
      <c r="B34" s="76" t="s">
        <v>143</v>
      </c>
      <c r="C34" s="76"/>
      <c r="D34" s="76"/>
      <c r="E34" s="76"/>
      <c r="F34" s="71">
        <v>230000</v>
      </c>
      <c r="G34" s="7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31">
        <f t="shared" si="1"/>
        <v>0</v>
      </c>
      <c r="U34" s="29"/>
      <c r="V34" s="44"/>
    </row>
    <row r="35" spans="1:22" ht="12.75">
      <c r="A35" s="15">
        <v>1.4</v>
      </c>
      <c r="B35" s="76" t="s">
        <v>64</v>
      </c>
      <c r="C35" s="76"/>
      <c r="D35" s="76"/>
      <c r="E35" s="76"/>
      <c r="F35" s="71">
        <v>40000</v>
      </c>
      <c r="G35" s="7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1">
        <f t="shared" si="1"/>
        <v>0</v>
      </c>
      <c r="U35" s="29"/>
      <c r="V35" s="44"/>
    </row>
    <row r="36" spans="1:22" ht="12.75">
      <c r="A36" s="15">
        <v>1.5</v>
      </c>
      <c r="B36" s="70" t="s">
        <v>16</v>
      </c>
      <c r="C36" s="70"/>
      <c r="D36" s="70"/>
      <c r="E36" s="70"/>
      <c r="F36" s="71">
        <v>70000</v>
      </c>
      <c r="G36" s="71"/>
      <c r="H36" s="15"/>
      <c r="I36" s="15"/>
      <c r="J36" s="22"/>
      <c r="K36" s="22"/>
      <c r="L36" s="15"/>
      <c r="M36" s="15"/>
      <c r="N36" s="15"/>
      <c r="O36" s="15"/>
      <c r="P36" s="15"/>
      <c r="Q36" s="15"/>
      <c r="R36" s="15"/>
      <c r="S36" s="15"/>
      <c r="T36" s="31">
        <f t="shared" si="1"/>
        <v>0</v>
      </c>
      <c r="U36" s="29"/>
      <c r="V36" s="44"/>
    </row>
    <row r="37" spans="1:22" ht="12.75">
      <c r="A37" s="15">
        <v>1.6</v>
      </c>
      <c r="B37" s="70" t="s">
        <v>144</v>
      </c>
      <c r="C37" s="70"/>
      <c r="D37" s="70"/>
      <c r="E37" s="70"/>
      <c r="F37" s="71">
        <v>13000</v>
      </c>
      <c r="G37" s="71"/>
      <c r="H37" s="15"/>
      <c r="I37" s="15"/>
      <c r="J37" s="17"/>
      <c r="K37" s="22"/>
      <c r="L37" s="22"/>
      <c r="M37" s="22"/>
      <c r="N37" s="22"/>
      <c r="O37" s="22"/>
      <c r="P37" s="22"/>
      <c r="Q37" s="22"/>
      <c r="R37" s="22"/>
      <c r="S37" s="22"/>
      <c r="T37" s="31">
        <f t="shared" si="1"/>
        <v>0</v>
      </c>
      <c r="U37" s="29"/>
      <c r="V37" s="44"/>
    </row>
    <row r="38" spans="1:22" ht="12.75">
      <c r="A38" s="15">
        <v>1.7</v>
      </c>
      <c r="B38" s="70" t="s">
        <v>145</v>
      </c>
      <c r="C38" s="70"/>
      <c r="D38" s="70"/>
      <c r="E38" s="70"/>
      <c r="F38" s="71">
        <v>10000</v>
      </c>
      <c r="G38" s="7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1">
        <f t="shared" si="1"/>
        <v>0</v>
      </c>
      <c r="U38" s="29"/>
      <c r="V38" s="44"/>
    </row>
    <row r="39" spans="1:22" ht="12.75">
      <c r="A39" s="15">
        <v>1.8</v>
      </c>
      <c r="B39" s="70" t="s">
        <v>46</v>
      </c>
      <c r="C39" s="70"/>
      <c r="D39" s="70"/>
      <c r="E39" s="70"/>
      <c r="F39" s="71">
        <v>12000</v>
      </c>
      <c r="G39" s="7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1">
        <f t="shared" si="1"/>
        <v>0</v>
      </c>
      <c r="U39" s="29"/>
      <c r="V39" s="44"/>
    </row>
    <row r="40" spans="1:22" ht="12.75">
      <c r="A40" s="15">
        <v>1.9</v>
      </c>
      <c r="B40" s="70" t="s">
        <v>112</v>
      </c>
      <c r="C40" s="70"/>
      <c r="D40" s="70"/>
      <c r="E40" s="70"/>
      <c r="F40" s="71">
        <v>10000</v>
      </c>
      <c r="G40" s="71"/>
      <c r="H40" s="15"/>
      <c r="I40" s="15"/>
      <c r="J40" s="22"/>
      <c r="K40" s="25"/>
      <c r="L40" s="15"/>
      <c r="M40" s="22"/>
      <c r="N40" s="15"/>
      <c r="O40" s="15"/>
      <c r="P40" s="22"/>
      <c r="Q40" s="15"/>
      <c r="R40" s="15"/>
      <c r="S40" s="15"/>
      <c r="T40" s="31">
        <f t="shared" si="1"/>
        <v>0</v>
      </c>
      <c r="U40" s="29"/>
      <c r="V40" s="44"/>
    </row>
    <row r="41" spans="1:22" ht="12.75">
      <c r="A41" s="44">
        <v>1.1</v>
      </c>
      <c r="B41" s="70" t="s">
        <v>146</v>
      </c>
      <c r="C41" s="70"/>
      <c r="D41" s="70"/>
      <c r="E41" s="70"/>
      <c r="F41" s="74">
        <v>55000</v>
      </c>
      <c r="G41" s="74"/>
      <c r="H41" s="22"/>
      <c r="I41" s="15"/>
      <c r="J41" s="22"/>
      <c r="K41" s="22"/>
      <c r="L41" s="22"/>
      <c r="M41" s="22"/>
      <c r="N41" s="22"/>
      <c r="O41" s="22"/>
      <c r="P41" s="22"/>
      <c r="Q41" s="15"/>
      <c r="R41" s="22"/>
      <c r="S41" s="22"/>
      <c r="T41" s="31">
        <f t="shared" si="1"/>
        <v>0</v>
      </c>
      <c r="U41" s="29"/>
      <c r="V41" s="44"/>
    </row>
    <row r="42" spans="1:22" ht="12.75">
      <c r="A42" s="44"/>
      <c r="B42" s="21"/>
      <c r="C42" s="21"/>
      <c r="D42" s="21"/>
      <c r="E42" s="21"/>
      <c r="F42" s="47"/>
      <c r="G42" s="47"/>
      <c r="H42" s="22"/>
      <c r="I42" s="15"/>
      <c r="J42" s="22"/>
      <c r="K42" s="22"/>
      <c r="L42" s="22"/>
      <c r="M42" s="22"/>
      <c r="N42" s="22"/>
      <c r="O42" s="22"/>
      <c r="P42" s="22"/>
      <c r="Q42" s="15"/>
      <c r="R42" s="22"/>
      <c r="S42" s="22"/>
      <c r="T42" s="31"/>
      <c r="U42" s="29"/>
      <c r="V42" s="44"/>
    </row>
    <row r="43" spans="1:22" ht="12.75">
      <c r="A43" s="44"/>
      <c r="B43" s="46" t="s">
        <v>8</v>
      </c>
      <c r="C43" s="21"/>
      <c r="D43" s="21"/>
      <c r="E43" s="21"/>
      <c r="F43" s="92">
        <f>SUM(F32:F42)</f>
        <v>1178040</v>
      </c>
      <c r="G43" s="86"/>
      <c r="H43" s="22"/>
      <c r="I43" s="15"/>
      <c r="J43" s="22"/>
      <c r="K43" s="22"/>
      <c r="L43" s="22"/>
      <c r="M43" s="22"/>
      <c r="N43" s="22"/>
      <c r="O43" s="22"/>
      <c r="P43" s="22"/>
      <c r="Q43" s="15"/>
      <c r="R43" s="22"/>
      <c r="S43" s="22"/>
      <c r="T43" s="31"/>
      <c r="U43" s="29"/>
      <c r="V43" s="44"/>
    </row>
    <row r="44" spans="1:22" ht="12.75" hidden="1">
      <c r="A44" s="44"/>
      <c r="B44" s="21"/>
      <c r="C44" s="21"/>
      <c r="D44" s="21"/>
      <c r="E44" s="21"/>
      <c r="F44" s="47"/>
      <c r="G44" s="47"/>
      <c r="H44" s="22"/>
      <c r="I44" s="15"/>
      <c r="J44" s="22"/>
      <c r="K44" s="22"/>
      <c r="L44" s="22"/>
      <c r="M44" s="22"/>
      <c r="N44" s="22"/>
      <c r="O44" s="22"/>
      <c r="P44" s="22"/>
      <c r="Q44" s="15"/>
      <c r="R44" s="22"/>
      <c r="S44" s="22"/>
      <c r="T44" s="31"/>
      <c r="U44" s="29"/>
      <c r="V44" s="44"/>
    </row>
    <row r="45" spans="1:22" ht="12.75">
      <c r="A45" s="15"/>
      <c r="B45" s="70"/>
      <c r="C45" s="70"/>
      <c r="D45" s="70"/>
      <c r="E45" s="70"/>
      <c r="F45" s="74"/>
      <c r="G45" s="74"/>
      <c r="H45" s="22"/>
      <c r="I45" s="15"/>
      <c r="J45" s="17"/>
      <c r="K45" s="25"/>
      <c r="L45" s="15"/>
      <c r="M45" s="15"/>
      <c r="N45" s="15"/>
      <c r="O45" s="15"/>
      <c r="P45" s="22"/>
      <c r="Q45" s="15"/>
      <c r="R45" s="15"/>
      <c r="S45" s="15"/>
      <c r="T45" s="31"/>
      <c r="U45" s="29"/>
      <c r="V45" s="44"/>
    </row>
    <row r="46" spans="1:22" ht="12.75">
      <c r="A46" s="93">
        <v>2</v>
      </c>
      <c r="B46" s="63" t="s">
        <v>160</v>
      </c>
      <c r="C46" s="63"/>
      <c r="D46" s="63"/>
      <c r="E46" s="63"/>
      <c r="F46" s="74"/>
      <c r="G46" s="74"/>
      <c r="H46" s="15"/>
      <c r="I46" s="15"/>
      <c r="J46" s="17"/>
      <c r="K46" s="25"/>
      <c r="L46" s="15"/>
      <c r="M46" s="22"/>
      <c r="N46" s="34"/>
      <c r="O46" s="34"/>
      <c r="P46" s="15"/>
      <c r="Q46" s="15"/>
      <c r="R46" s="15"/>
      <c r="S46" s="15"/>
      <c r="T46" s="31"/>
      <c r="U46" s="29"/>
      <c r="V46" s="44"/>
    </row>
    <row r="47" spans="1:22" ht="12.75">
      <c r="A47" s="15">
        <v>2.1</v>
      </c>
      <c r="B47" s="70" t="s">
        <v>148</v>
      </c>
      <c r="C47" s="70"/>
      <c r="D47" s="70"/>
      <c r="E47" s="70"/>
      <c r="F47" s="71">
        <v>390456</v>
      </c>
      <c r="G47" s="71"/>
      <c r="H47" s="15"/>
      <c r="I47" s="15"/>
      <c r="J47" s="17"/>
      <c r="K47" s="25"/>
      <c r="L47" s="15"/>
      <c r="M47" s="22"/>
      <c r="N47" s="15"/>
      <c r="O47" s="15"/>
      <c r="P47" s="15"/>
      <c r="Q47" s="15"/>
      <c r="R47" s="15"/>
      <c r="S47" s="15"/>
      <c r="T47" s="31"/>
      <c r="U47" s="29"/>
      <c r="V47" s="44"/>
    </row>
    <row r="48" spans="1:22" ht="12.75">
      <c r="A48" s="15">
        <v>2.2</v>
      </c>
      <c r="B48" s="70" t="s">
        <v>143</v>
      </c>
      <c r="C48" s="70"/>
      <c r="D48" s="70"/>
      <c r="E48" s="70"/>
      <c r="F48" s="74">
        <v>120000</v>
      </c>
      <c r="G48" s="74"/>
      <c r="H48" s="15"/>
      <c r="I48" s="15"/>
      <c r="J48" s="17"/>
      <c r="K48" s="25"/>
      <c r="L48" s="15"/>
      <c r="M48" s="15"/>
      <c r="N48" s="15"/>
      <c r="O48" s="15"/>
      <c r="P48" s="15"/>
      <c r="Q48" s="15"/>
      <c r="R48" s="15"/>
      <c r="S48" s="15"/>
      <c r="T48" s="31"/>
      <c r="U48" s="29"/>
      <c r="V48" s="44"/>
    </row>
    <row r="49" spans="1:22" ht="12.75">
      <c r="A49" s="15">
        <v>2.3</v>
      </c>
      <c r="B49" s="70" t="s">
        <v>149</v>
      </c>
      <c r="C49" s="70"/>
      <c r="D49" s="70"/>
      <c r="E49" s="70"/>
      <c r="F49" s="71">
        <v>120000</v>
      </c>
      <c r="G49" s="71"/>
      <c r="H49" s="15"/>
      <c r="I49" s="22"/>
      <c r="J49" s="22"/>
      <c r="K49" s="22"/>
      <c r="L49" s="22"/>
      <c r="M49" s="22"/>
      <c r="N49" s="22"/>
      <c r="O49" s="22"/>
      <c r="P49" s="15"/>
      <c r="Q49" s="22"/>
      <c r="R49" s="15"/>
      <c r="S49" s="22"/>
      <c r="T49" s="31"/>
      <c r="U49" s="29"/>
      <c r="V49" s="44"/>
    </row>
    <row r="50" spans="1:22" ht="12.75">
      <c r="A50" s="15">
        <v>2.4</v>
      </c>
      <c r="B50" s="70" t="s">
        <v>150</v>
      </c>
      <c r="C50" s="70"/>
      <c r="D50" s="70"/>
      <c r="E50" s="70"/>
      <c r="F50" s="74">
        <v>70000</v>
      </c>
      <c r="G50" s="74"/>
      <c r="H50" s="15"/>
      <c r="I50" s="15"/>
      <c r="J50" s="17"/>
      <c r="K50" s="25"/>
      <c r="L50" s="15"/>
      <c r="M50" s="15"/>
      <c r="N50" s="15"/>
      <c r="O50" s="15"/>
      <c r="P50" s="15"/>
      <c r="Q50" s="15"/>
      <c r="R50" s="15"/>
      <c r="S50" s="15"/>
      <c r="T50" s="31"/>
      <c r="U50" s="29"/>
      <c r="V50" s="44"/>
    </row>
    <row r="51" spans="1:22" ht="12.75">
      <c r="A51" s="15">
        <v>2.5</v>
      </c>
      <c r="B51" s="94" t="s">
        <v>151</v>
      </c>
      <c r="C51" s="94"/>
      <c r="D51" s="94"/>
      <c r="E51" s="94"/>
      <c r="F51" s="74">
        <v>60000</v>
      </c>
      <c r="G51" s="74"/>
      <c r="H51" s="15"/>
      <c r="I51" s="15"/>
      <c r="J51" s="17"/>
      <c r="K51" s="25"/>
      <c r="L51" s="15"/>
      <c r="M51" s="22"/>
      <c r="N51" s="15"/>
      <c r="O51" s="22"/>
      <c r="P51" s="22"/>
      <c r="Q51" s="15"/>
      <c r="R51" s="15"/>
      <c r="S51" s="15"/>
      <c r="T51" s="31"/>
      <c r="U51" s="29"/>
      <c r="V51" s="44"/>
    </row>
    <row r="52" spans="1:22" ht="12.75">
      <c r="A52" s="15">
        <v>2.6</v>
      </c>
      <c r="B52" s="70" t="s">
        <v>54</v>
      </c>
      <c r="C52" s="70"/>
      <c r="D52" s="70"/>
      <c r="E52" s="70"/>
      <c r="F52" s="71">
        <v>300000</v>
      </c>
      <c r="G52" s="71"/>
      <c r="H52" s="15"/>
      <c r="I52" s="15"/>
      <c r="J52" s="17"/>
      <c r="K52" s="25"/>
      <c r="L52" s="22"/>
      <c r="M52" s="15"/>
      <c r="N52" s="15"/>
      <c r="O52" s="15"/>
      <c r="P52" s="15"/>
      <c r="Q52" s="15"/>
      <c r="R52" s="15"/>
      <c r="S52" s="15"/>
      <c r="T52" s="31"/>
      <c r="U52" s="29"/>
      <c r="V52" s="44"/>
    </row>
    <row r="53" spans="1:22" ht="12.75">
      <c r="A53" s="15">
        <v>2.7</v>
      </c>
      <c r="B53" s="57" t="s">
        <v>152</v>
      </c>
      <c r="C53" s="58"/>
      <c r="D53" s="58"/>
      <c r="E53" s="59"/>
      <c r="F53" s="71">
        <v>30000</v>
      </c>
      <c r="G53" s="73"/>
      <c r="H53" s="22"/>
      <c r="I53" s="22"/>
      <c r="J53" s="17"/>
      <c r="K53" s="22"/>
      <c r="L53" s="15"/>
      <c r="M53" s="22"/>
      <c r="N53" s="22"/>
      <c r="O53" s="22"/>
      <c r="P53" s="22"/>
      <c r="Q53" s="22"/>
      <c r="R53" s="22"/>
      <c r="S53" s="22"/>
      <c r="T53" s="31"/>
      <c r="U53" s="29"/>
      <c r="V53" s="44"/>
    </row>
    <row r="54" spans="1:22" ht="12.75">
      <c r="A54" s="15">
        <v>2.8</v>
      </c>
      <c r="B54" s="21" t="s">
        <v>153</v>
      </c>
      <c r="C54" s="21"/>
      <c r="D54" s="21"/>
      <c r="E54" s="21"/>
      <c r="F54" s="71">
        <v>30000</v>
      </c>
      <c r="G54" s="73"/>
      <c r="H54" s="15"/>
      <c r="I54" s="15"/>
      <c r="J54" s="22"/>
      <c r="K54" s="25"/>
      <c r="L54" s="15"/>
      <c r="M54" s="22"/>
      <c r="N54" s="15"/>
      <c r="O54" s="15"/>
      <c r="P54" s="22"/>
      <c r="Q54" s="15"/>
      <c r="R54" s="15"/>
      <c r="S54" s="22"/>
      <c r="T54" s="31"/>
      <c r="U54" s="29"/>
      <c r="V54" s="44"/>
    </row>
    <row r="55" spans="1:22" ht="12.75">
      <c r="A55" s="15">
        <v>2.9</v>
      </c>
      <c r="B55" s="57" t="s">
        <v>154</v>
      </c>
      <c r="C55" s="91"/>
      <c r="D55" s="91"/>
      <c r="E55" s="86"/>
      <c r="F55" s="85">
        <v>80000</v>
      </c>
      <c r="G55" s="86"/>
      <c r="H55" s="15"/>
      <c r="I55" s="15"/>
      <c r="J55" s="22"/>
      <c r="K55" s="25"/>
      <c r="L55" s="15"/>
      <c r="M55" s="22"/>
      <c r="N55" s="15"/>
      <c r="O55" s="15"/>
      <c r="P55" s="22"/>
      <c r="Q55" s="15"/>
      <c r="R55" s="15"/>
      <c r="S55" s="22"/>
      <c r="T55" s="31"/>
      <c r="U55" s="29"/>
      <c r="V55" s="44"/>
    </row>
    <row r="56" spans="1:22" ht="12.75">
      <c r="A56" s="44">
        <v>2.1</v>
      </c>
      <c r="B56" s="57" t="s">
        <v>155</v>
      </c>
      <c r="C56" s="91"/>
      <c r="D56" s="91"/>
      <c r="E56" s="86"/>
      <c r="F56" s="85">
        <v>90000</v>
      </c>
      <c r="G56" s="86"/>
      <c r="H56" s="15"/>
      <c r="I56" s="15"/>
      <c r="J56" s="22"/>
      <c r="K56" s="25"/>
      <c r="L56" s="15"/>
      <c r="M56" s="22"/>
      <c r="N56" s="15"/>
      <c r="O56" s="15"/>
      <c r="P56" s="22"/>
      <c r="Q56" s="15"/>
      <c r="R56" s="15"/>
      <c r="S56" s="22"/>
      <c r="T56" s="31"/>
      <c r="U56" s="29"/>
      <c r="V56" s="44"/>
    </row>
    <row r="57" spans="1:22" ht="12.75">
      <c r="A57" s="15">
        <v>2.11</v>
      </c>
      <c r="B57" s="57" t="s">
        <v>119</v>
      </c>
      <c r="C57" s="91"/>
      <c r="D57" s="91"/>
      <c r="E57" s="86"/>
      <c r="F57" s="85">
        <v>60000</v>
      </c>
      <c r="G57" s="86"/>
      <c r="H57" s="15"/>
      <c r="I57" s="15"/>
      <c r="J57" s="22"/>
      <c r="K57" s="25"/>
      <c r="L57" s="15"/>
      <c r="M57" s="22"/>
      <c r="N57" s="15"/>
      <c r="O57" s="15"/>
      <c r="P57" s="22"/>
      <c r="Q57" s="15"/>
      <c r="R57" s="15"/>
      <c r="S57" s="22"/>
      <c r="T57" s="31"/>
      <c r="U57" s="29"/>
      <c r="V57" s="44"/>
    </row>
    <row r="58" spans="1:22" ht="12.75">
      <c r="A58" s="15">
        <v>2.12</v>
      </c>
      <c r="B58" s="57" t="s">
        <v>156</v>
      </c>
      <c r="C58" s="91"/>
      <c r="D58" s="91"/>
      <c r="E58" s="86"/>
      <c r="F58" s="85">
        <v>30000</v>
      </c>
      <c r="G58" s="86"/>
      <c r="H58" s="15"/>
      <c r="I58" s="15"/>
      <c r="J58" s="22"/>
      <c r="K58" s="25"/>
      <c r="L58" s="15"/>
      <c r="M58" s="22"/>
      <c r="N58" s="15"/>
      <c r="O58" s="15"/>
      <c r="P58" s="22"/>
      <c r="Q58" s="15"/>
      <c r="R58" s="15"/>
      <c r="S58" s="22"/>
      <c r="T58" s="31"/>
      <c r="U58" s="29"/>
      <c r="V58" s="44"/>
    </row>
    <row r="59" spans="1:22" ht="12.75" hidden="1">
      <c r="A59" s="15"/>
      <c r="B59" s="39"/>
      <c r="C59" s="40"/>
      <c r="D59" s="40"/>
      <c r="E59" s="41"/>
      <c r="F59" s="37"/>
      <c r="G59" s="42"/>
      <c r="H59" s="15"/>
      <c r="I59" s="15"/>
      <c r="J59" s="22"/>
      <c r="K59" s="25"/>
      <c r="L59" s="15"/>
      <c r="M59" s="22"/>
      <c r="N59" s="15"/>
      <c r="O59" s="15"/>
      <c r="P59" s="22"/>
      <c r="Q59" s="15"/>
      <c r="R59" s="15"/>
      <c r="S59" s="22"/>
      <c r="T59" s="31"/>
      <c r="U59" s="29"/>
      <c r="V59" s="44"/>
    </row>
    <row r="60" spans="1:22" ht="12.75">
      <c r="A60" s="15"/>
      <c r="B60" s="39"/>
      <c r="C60" s="40"/>
      <c r="D60" s="40"/>
      <c r="E60" s="41"/>
      <c r="F60" s="37"/>
      <c r="G60" s="42"/>
      <c r="H60" s="15"/>
      <c r="I60" s="15"/>
      <c r="J60" s="22"/>
      <c r="K60" s="25"/>
      <c r="L60" s="15"/>
      <c r="M60" s="22"/>
      <c r="N60" s="15"/>
      <c r="O60" s="15"/>
      <c r="P60" s="22"/>
      <c r="Q60" s="15"/>
      <c r="R60" s="15"/>
      <c r="S60" s="22"/>
      <c r="T60" s="31"/>
      <c r="U60" s="29"/>
      <c r="V60" s="44" t="s">
        <v>89</v>
      </c>
    </row>
    <row r="61" spans="1:22" ht="12.75">
      <c r="A61" s="15"/>
      <c r="B61" s="82" t="s">
        <v>8</v>
      </c>
      <c r="C61" s="83"/>
      <c r="D61" s="83"/>
      <c r="E61" s="84"/>
      <c r="F61" s="85">
        <f>SUM(F47:F60)</f>
        <v>1380456</v>
      </c>
      <c r="G61" s="86"/>
      <c r="H61" s="15">
        <f aca="true" t="shared" si="2" ref="H61:T61">SUM(H32:H60)</f>
        <v>0</v>
      </c>
      <c r="I61" s="15">
        <f t="shared" si="2"/>
        <v>0</v>
      </c>
      <c r="J61" s="15">
        <f t="shared" si="2"/>
        <v>0</v>
      </c>
      <c r="K61" s="15">
        <f t="shared" si="2"/>
        <v>0</v>
      </c>
      <c r="L61" s="15">
        <f t="shared" si="2"/>
        <v>0</v>
      </c>
      <c r="M61" s="15">
        <f t="shared" si="2"/>
        <v>0</v>
      </c>
      <c r="N61" s="15">
        <f t="shared" si="2"/>
        <v>0</v>
      </c>
      <c r="O61" s="15">
        <f t="shared" si="2"/>
        <v>0</v>
      </c>
      <c r="P61" s="15">
        <f t="shared" si="2"/>
        <v>0</v>
      </c>
      <c r="Q61" s="15">
        <f t="shared" si="2"/>
        <v>0</v>
      </c>
      <c r="R61" s="15">
        <f t="shared" si="2"/>
        <v>0</v>
      </c>
      <c r="S61" s="44">
        <f t="shared" si="2"/>
        <v>0</v>
      </c>
      <c r="T61" s="44">
        <f t="shared" si="2"/>
        <v>0</v>
      </c>
      <c r="U61" s="29"/>
      <c r="V61" s="44" t="s">
        <v>89</v>
      </c>
    </row>
    <row r="62" spans="1:22" ht="12.75">
      <c r="A62" s="15"/>
      <c r="B62" s="53"/>
      <c r="C62" s="54"/>
      <c r="D62" s="54"/>
      <c r="E62" s="55"/>
      <c r="F62" s="37"/>
      <c r="G62" s="3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44"/>
      <c r="T62" s="44"/>
      <c r="U62" s="29"/>
      <c r="V62" s="44"/>
    </row>
    <row r="63" spans="1:22" ht="12.75">
      <c r="A63" s="48" t="s">
        <v>147</v>
      </c>
      <c r="B63" s="39"/>
      <c r="C63" s="40"/>
      <c r="D63" s="40"/>
      <c r="E63" s="41"/>
      <c r="F63" s="37"/>
      <c r="G63" s="38"/>
      <c r="H63" s="15"/>
      <c r="I63" s="15"/>
      <c r="J63" s="22"/>
      <c r="K63" s="25"/>
      <c r="L63" s="15"/>
      <c r="M63" s="22"/>
      <c r="N63" s="15"/>
      <c r="O63" s="15"/>
      <c r="P63" s="22"/>
      <c r="Q63" s="15"/>
      <c r="R63" s="15"/>
      <c r="S63" s="22"/>
      <c r="T63" s="31"/>
      <c r="U63" s="29"/>
      <c r="V63" s="44"/>
    </row>
    <row r="64" spans="1:22" ht="12.75">
      <c r="A64" s="15"/>
      <c r="B64" s="21" t="s">
        <v>121</v>
      </c>
      <c r="C64" s="21"/>
      <c r="D64" s="21"/>
      <c r="E64" s="21"/>
      <c r="F64" s="71">
        <v>110000</v>
      </c>
      <c r="G64" s="73"/>
      <c r="H64" s="15"/>
      <c r="I64" s="15"/>
      <c r="J64" s="17"/>
      <c r="K64" s="25"/>
      <c r="L64" s="15"/>
      <c r="M64" s="15"/>
      <c r="N64" s="15"/>
      <c r="O64" s="15"/>
      <c r="P64" s="15"/>
      <c r="Q64" s="15"/>
      <c r="R64" s="15"/>
      <c r="S64" s="15"/>
      <c r="T64" s="31"/>
      <c r="U64" s="29"/>
      <c r="V64" s="44"/>
    </row>
    <row r="65" spans="1:22" ht="12.75">
      <c r="A65" s="15"/>
      <c r="B65" s="21" t="s">
        <v>157</v>
      </c>
      <c r="C65" s="21"/>
      <c r="D65" s="21"/>
      <c r="E65" s="21"/>
      <c r="F65" s="71">
        <v>70000</v>
      </c>
      <c r="G65" s="73"/>
      <c r="H65" s="22"/>
      <c r="I65" s="15"/>
      <c r="J65" s="22"/>
      <c r="K65" s="22"/>
      <c r="L65" s="15"/>
      <c r="M65" s="22"/>
      <c r="N65" s="22"/>
      <c r="O65" s="22"/>
      <c r="P65" s="22"/>
      <c r="Q65" s="22"/>
      <c r="R65" s="22"/>
      <c r="S65" s="22"/>
      <c r="T65" s="31"/>
      <c r="U65" s="29"/>
      <c r="V65" s="44"/>
    </row>
    <row r="66" spans="1:22" ht="12.75">
      <c r="A66" s="15"/>
      <c r="B66" s="21" t="s">
        <v>117</v>
      </c>
      <c r="C66" s="21"/>
      <c r="D66" s="21"/>
      <c r="E66" s="21"/>
      <c r="F66" s="71">
        <v>10000</v>
      </c>
      <c r="G66" s="73"/>
      <c r="H66" s="15"/>
      <c r="I66" s="15"/>
      <c r="J66" s="17"/>
      <c r="K66" s="25"/>
      <c r="L66" s="15"/>
      <c r="M66" s="15"/>
      <c r="N66" s="15"/>
      <c r="O66" s="22"/>
      <c r="P66" s="15"/>
      <c r="Q66" s="15"/>
      <c r="R66" s="22"/>
      <c r="S66" s="15"/>
      <c r="T66" s="31"/>
      <c r="U66" s="29"/>
      <c r="V66" s="44"/>
    </row>
    <row r="67" spans="1:22" ht="12.75">
      <c r="A67" s="15"/>
      <c r="B67" s="21" t="s">
        <v>158</v>
      </c>
      <c r="C67" s="21"/>
      <c r="D67" s="21"/>
      <c r="E67" s="21"/>
      <c r="F67" s="71">
        <v>22000</v>
      </c>
      <c r="G67" s="73"/>
      <c r="H67" s="22"/>
      <c r="I67" s="22"/>
      <c r="J67" s="22"/>
      <c r="K67" s="22"/>
      <c r="L67" s="22"/>
      <c r="M67" s="22"/>
      <c r="N67" s="22"/>
      <c r="O67" s="22"/>
      <c r="P67" s="15"/>
      <c r="Q67" s="22"/>
      <c r="R67" s="22"/>
      <c r="S67" s="22"/>
      <c r="T67" s="31"/>
      <c r="U67" s="29"/>
      <c r="V67" s="44"/>
    </row>
    <row r="68" spans="1:22" ht="12.75">
      <c r="A68" s="15"/>
      <c r="B68" s="21" t="s">
        <v>113</v>
      </c>
      <c r="C68" s="21"/>
      <c r="D68" s="21"/>
      <c r="E68" s="21"/>
      <c r="F68" s="85">
        <v>210000</v>
      </c>
      <c r="G68" s="86"/>
      <c r="H68" s="22"/>
      <c r="I68" s="22"/>
      <c r="J68" s="22"/>
      <c r="K68" s="22"/>
      <c r="L68" s="22"/>
      <c r="M68" s="22"/>
      <c r="N68" s="22"/>
      <c r="O68" s="22"/>
      <c r="P68" s="15"/>
      <c r="Q68" s="22"/>
      <c r="R68" s="22"/>
      <c r="S68" s="22"/>
      <c r="T68" s="31"/>
      <c r="U68" s="29"/>
      <c r="V68" s="44"/>
    </row>
    <row r="69" spans="1:22" ht="12.75">
      <c r="A69" s="15"/>
      <c r="B69" s="39" t="s">
        <v>127</v>
      </c>
      <c r="C69" s="40"/>
      <c r="D69" s="40"/>
      <c r="E69" s="41"/>
      <c r="F69" s="85">
        <v>360000</v>
      </c>
      <c r="G69" s="86"/>
      <c r="H69" s="22"/>
      <c r="I69" s="22"/>
      <c r="J69" s="22"/>
      <c r="K69" s="22"/>
      <c r="L69" s="22"/>
      <c r="M69" s="22"/>
      <c r="N69" s="22"/>
      <c r="O69" s="22"/>
      <c r="P69" s="15"/>
      <c r="Q69" s="22"/>
      <c r="R69" s="22"/>
      <c r="S69" s="22"/>
      <c r="T69" s="31"/>
      <c r="U69" s="29"/>
      <c r="V69" s="44"/>
    </row>
    <row r="70" spans="1:22" ht="12.75" hidden="1">
      <c r="A70" s="15">
        <v>25</v>
      </c>
      <c r="B70" s="39" t="s">
        <v>127</v>
      </c>
      <c r="C70" s="40"/>
      <c r="D70" s="40"/>
      <c r="E70" s="41"/>
      <c r="F70" s="85" t="s">
        <v>89</v>
      </c>
      <c r="G70" s="86"/>
      <c r="H70" s="22"/>
      <c r="I70" s="22"/>
      <c r="J70" s="22"/>
      <c r="K70" s="22"/>
      <c r="L70" s="22"/>
      <c r="M70" s="22"/>
      <c r="N70" s="22"/>
      <c r="O70" s="22"/>
      <c r="P70" s="15"/>
      <c r="Q70" s="22"/>
      <c r="R70" s="22"/>
      <c r="S70" s="22"/>
      <c r="T70" s="31"/>
      <c r="U70" s="29"/>
      <c r="V70" s="44"/>
    </row>
    <row r="71" spans="1:22" ht="12.75" hidden="1">
      <c r="A71" s="15"/>
      <c r="B71" s="57"/>
      <c r="C71" s="58"/>
      <c r="D71" s="58"/>
      <c r="E71" s="59"/>
      <c r="F71" s="85"/>
      <c r="G71" s="86"/>
      <c r="H71" s="22"/>
      <c r="I71" s="22"/>
      <c r="J71" s="22"/>
      <c r="K71" s="22"/>
      <c r="L71" s="22"/>
      <c r="M71" s="22"/>
      <c r="N71" s="22"/>
      <c r="O71" s="22"/>
      <c r="P71" s="15"/>
      <c r="Q71" s="22"/>
      <c r="R71" s="22"/>
      <c r="S71" s="22"/>
      <c r="T71" s="31"/>
      <c r="U71" s="29"/>
      <c r="V71" s="44"/>
    </row>
    <row r="72" spans="1:22" ht="12.75">
      <c r="A72" s="15"/>
      <c r="B72" s="57"/>
      <c r="C72" s="58"/>
      <c r="D72" s="58"/>
      <c r="E72" s="59"/>
      <c r="F72" s="85"/>
      <c r="G72" s="86"/>
      <c r="H72" s="22"/>
      <c r="I72" s="22"/>
      <c r="J72" s="22"/>
      <c r="K72" s="22"/>
      <c r="L72" s="22"/>
      <c r="M72" s="22"/>
      <c r="N72" s="22"/>
      <c r="O72" s="22"/>
      <c r="P72" s="15"/>
      <c r="Q72" s="22"/>
      <c r="R72" s="22"/>
      <c r="S72" s="22"/>
      <c r="T72" s="31"/>
      <c r="U72" s="29"/>
      <c r="V72" s="44"/>
    </row>
    <row r="73" spans="1:22" ht="12.75">
      <c r="A73" s="15"/>
      <c r="B73" s="72" t="s">
        <v>8</v>
      </c>
      <c r="C73" s="72"/>
      <c r="D73" s="72"/>
      <c r="E73" s="72"/>
      <c r="F73" s="71">
        <f>SUM(F64:F72)</f>
        <v>782000</v>
      </c>
      <c r="G73" s="73"/>
      <c r="H73" s="26">
        <f aca="true" t="shared" si="3" ref="H73:T73">SUM(H64:H72)</f>
        <v>0</v>
      </c>
      <c r="I73" s="26">
        <f t="shared" si="3"/>
        <v>0</v>
      </c>
      <c r="J73" s="26">
        <f t="shared" si="3"/>
        <v>0</v>
      </c>
      <c r="K73" s="26">
        <f t="shared" si="3"/>
        <v>0</v>
      </c>
      <c r="L73" s="26">
        <f t="shared" si="3"/>
        <v>0</v>
      </c>
      <c r="M73" s="26">
        <f t="shared" si="3"/>
        <v>0</v>
      </c>
      <c r="N73" s="26">
        <f t="shared" si="3"/>
        <v>0</v>
      </c>
      <c r="O73" s="26">
        <f t="shared" si="3"/>
        <v>0</v>
      </c>
      <c r="P73" s="26">
        <f t="shared" si="3"/>
        <v>0</v>
      </c>
      <c r="Q73" s="26">
        <f t="shared" si="3"/>
        <v>0</v>
      </c>
      <c r="R73" s="26">
        <f t="shared" si="3"/>
        <v>0</v>
      </c>
      <c r="S73" s="26">
        <f t="shared" si="3"/>
        <v>0</v>
      </c>
      <c r="T73" s="26">
        <f t="shared" si="3"/>
        <v>0</v>
      </c>
      <c r="U73" s="29">
        <f>SUM(U32:U67)</f>
        <v>0</v>
      </c>
      <c r="V73" s="44" t="s">
        <v>89</v>
      </c>
    </row>
    <row r="74" spans="1:22" ht="12.75" hidden="1">
      <c r="A74" s="15"/>
      <c r="B74" s="15"/>
      <c r="C74" s="15"/>
      <c r="D74" s="15"/>
      <c r="E74" s="15"/>
      <c r="F74" s="16"/>
      <c r="G74" s="16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31"/>
      <c r="V74" s="44"/>
    </row>
    <row r="75" spans="1:22" ht="12.75" hidden="1">
      <c r="A75" s="15"/>
      <c r="B75" s="15"/>
      <c r="C75" s="15"/>
      <c r="D75" s="15"/>
      <c r="E75" s="15"/>
      <c r="F75" s="16"/>
      <c r="G75" s="16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31"/>
      <c r="V75" s="44"/>
    </row>
    <row r="76" spans="1:22" ht="12.75">
      <c r="A76" s="15"/>
      <c r="B76" s="15"/>
      <c r="C76" s="15"/>
      <c r="D76" s="15"/>
      <c r="E76" s="15"/>
      <c r="F76" s="16"/>
      <c r="G76" s="1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31" t="s">
        <v>89</v>
      </c>
      <c r="V76" s="15"/>
    </row>
    <row r="77" spans="1:22" ht="12.75">
      <c r="A77" s="15"/>
      <c r="B77" s="16" t="s">
        <v>128</v>
      </c>
      <c r="C77" s="15"/>
      <c r="D77" s="15"/>
      <c r="E77" s="15"/>
      <c r="F77" s="85">
        <f>F61+F73+F43</f>
        <v>3340496</v>
      </c>
      <c r="G77" s="62"/>
      <c r="H77" s="15">
        <f aca="true" t="shared" si="4" ref="H77:T77">H61+H73</f>
        <v>0</v>
      </c>
      <c r="I77" s="15">
        <f t="shared" si="4"/>
        <v>0</v>
      </c>
      <c r="J77" s="15">
        <f t="shared" si="4"/>
        <v>0</v>
      </c>
      <c r="K77" s="15">
        <f t="shared" si="4"/>
        <v>0</v>
      </c>
      <c r="L77" s="15">
        <f t="shared" si="4"/>
        <v>0</v>
      </c>
      <c r="M77" s="15">
        <f t="shared" si="4"/>
        <v>0</v>
      </c>
      <c r="N77" s="15">
        <f t="shared" si="4"/>
        <v>0</v>
      </c>
      <c r="O77" s="44">
        <f t="shared" si="4"/>
        <v>0</v>
      </c>
      <c r="P77" s="44">
        <f t="shared" si="4"/>
        <v>0</v>
      </c>
      <c r="Q77" s="44">
        <f t="shared" si="4"/>
        <v>0</v>
      </c>
      <c r="R77" s="44">
        <f t="shared" si="4"/>
        <v>0</v>
      </c>
      <c r="S77" s="44">
        <f>S61+S73</f>
        <v>0</v>
      </c>
      <c r="T77" s="31">
        <f t="shared" si="4"/>
        <v>0</v>
      </c>
      <c r="V77" s="15"/>
    </row>
    <row r="78" spans="1:20" ht="12.75" hidden="1">
      <c r="A78" s="15"/>
      <c r="B78" s="15"/>
      <c r="C78" s="15"/>
      <c r="D78" s="15"/>
      <c r="E78" s="15"/>
      <c r="F78" s="16"/>
      <c r="G78" s="16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31" t="s">
        <v>89</v>
      </c>
    </row>
    <row r="79" spans="1:20" ht="12.75">
      <c r="A79" s="15"/>
      <c r="B79" s="15"/>
      <c r="C79" s="15"/>
      <c r="D79" s="15"/>
      <c r="E79" s="15"/>
      <c r="F79" s="16"/>
      <c r="G79" s="16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31" t="s">
        <v>89</v>
      </c>
    </row>
    <row r="80" spans="1:20" ht="12.75">
      <c r="A80" s="15"/>
      <c r="B80" s="15" t="s">
        <v>62</v>
      </c>
      <c r="C80" s="15"/>
      <c r="D80" s="15"/>
      <c r="E80" s="15"/>
      <c r="F80" s="60" t="s">
        <v>57</v>
      </c>
      <c r="G80" s="61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1" t="s">
        <v>89</v>
      </c>
    </row>
    <row r="81" spans="1:20" ht="12.75">
      <c r="A81" s="15"/>
      <c r="B81" s="15"/>
      <c r="C81" s="15"/>
      <c r="D81" s="15"/>
      <c r="E81" s="15"/>
      <c r="F81" s="60" t="s">
        <v>63</v>
      </c>
      <c r="G81" s="61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1" t="s">
        <v>89</v>
      </c>
    </row>
    <row r="82" spans="1:22" ht="12.75">
      <c r="A82" s="28"/>
      <c r="B82" s="28"/>
      <c r="C82" s="28"/>
      <c r="D82" s="28"/>
      <c r="E82" s="28"/>
      <c r="F82" s="28"/>
      <c r="G82" s="28"/>
      <c r="H82" s="28">
        <f aca="true" t="shared" si="5" ref="H82:S82">H24-H73</f>
        <v>0</v>
      </c>
      <c r="I82" s="28">
        <f t="shared" si="5"/>
        <v>0</v>
      </c>
      <c r="J82" s="28">
        <f t="shared" si="5"/>
        <v>0</v>
      </c>
      <c r="K82" s="28">
        <f t="shared" si="5"/>
        <v>0</v>
      </c>
      <c r="L82" s="28">
        <f t="shared" si="5"/>
        <v>0</v>
      </c>
      <c r="M82" s="28">
        <f t="shared" si="5"/>
        <v>0</v>
      </c>
      <c r="N82" s="28">
        <f t="shared" si="5"/>
        <v>0</v>
      </c>
      <c r="O82" s="28">
        <f t="shared" si="5"/>
        <v>0</v>
      </c>
      <c r="P82" s="28">
        <f t="shared" si="5"/>
        <v>0</v>
      </c>
      <c r="Q82" s="28">
        <f t="shared" si="5"/>
        <v>0</v>
      </c>
      <c r="R82" s="28">
        <f t="shared" si="5"/>
        <v>0</v>
      </c>
      <c r="S82" s="28">
        <f t="shared" si="5"/>
        <v>0</v>
      </c>
      <c r="T82" s="31" t="s">
        <v>89</v>
      </c>
      <c r="U82" s="12"/>
      <c r="V82" s="10"/>
    </row>
    <row r="83" spans="2:20" ht="12.75">
      <c r="B83" t="s">
        <v>58</v>
      </c>
      <c r="E83" t="s">
        <v>59</v>
      </c>
      <c r="F83" s="8" t="s">
        <v>60</v>
      </c>
      <c r="T83" s="31" t="s">
        <v>89</v>
      </c>
    </row>
    <row r="84" ht="12.75">
      <c r="T84" s="31"/>
    </row>
    <row r="85" spans="2:20" ht="12.75" hidden="1">
      <c r="B85" t="s">
        <v>85</v>
      </c>
      <c r="T85" s="31"/>
    </row>
    <row r="86" spans="2:20" ht="12.75" hidden="1">
      <c r="B86" t="s">
        <v>94</v>
      </c>
      <c r="T86" s="31"/>
    </row>
    <row r="87" spans="2:20" ht="12.75" hidden="1">
      <c r="B87" t="s">
        <v>132</v>
      </c>
      <c r="T87" s="31"/>
    </row>
    <row r="88" spans="2:20" ht="12.75" hidden="1">
      <c r="B88" t="s">
        <v>75</v>
      </c>
      <c r="H88" s="3"/>
      <c r="I88" s="3"/>
      <c r="L88" s="3"/>
      <c r="N88" s="3"/>
      <c r="Q88" s="3"/>
      <c r="T88" s="31"/>
    </row>
    <row r="89" spans="2:20" ht="12.75" hidden="1">
      <c r="B89" t="s">
        <v>77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1"/>
    </row>
    <row r="90" spans="2:20" ht="12.75" hidden="1">
      <c r="B90" t="s">
        <v>78</v>
      </c>
      <c r="H90" s="3"/>
      <c r="I90" s="3"/>
      <c r="J90" s="3"/>
      <c r="K90" s="3"/>
      <c r="L90" s="43"/>
      <c r="M90" s="3"/>
      <c r="N90" s="3"/>
      <c r="O90" s="3"/>
      <c r="P90" s="3"/>
      <c r="Q90" s="3"/>
      <c r="R90" s="43"/>
      <c r="S90" s="43"/>
      <c r="T90" s="31"/>
    </row>
    <row r="91" spans="2:20" ht="12.75" hidden="1">
      <c r="B91" t="s">
        <v>79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1"/>
    </row>
    <row r="92" spans="2:20" ht="12.75" hidden="1">
      <c r="B92" t="s">
        <v>80</v>
      </c>
      <c r="R92" s="3"/>
      <c r="T92" s="31"/>
    </row>
    <row r="93" spans="2:20" ht="12.75" hidden="1">
      <c r="B93" t="s">
        <v>81</v>
      </c>
      <c r="H93" s="3"/>
      <c r="J93" s="3"/>
      <c r="N93" s="3"/>
      <c r="Q93" s="3"/>
      <c r="S93" s="3"/>
      <c r="T93" s="31"/>
    </row>
    <row r="94" spans="2:20" ht="12.75" hidden="1">
      <c r="B94" t="s">
        <v>131</v>
      </c>
      <c r="K94" s="3"/>
      <c r="T94" s="31"/>
    </row>
    <row r="95" spans="2:20" ht="12.75" hidden="1">
      <c r="B95" t="s">
        <v>84</v>
      </c>
      <c r="M95" s="3"/>
      <c r="T95" s="31"/>
    </row>
    <row r="96" spans="2:19" ht="12.75" hidden="1">
      <c r="B96" t="s">
        <v>100</v>
      </c>
      <c r="H96" s="9"/>
      <c r="I96" s="9"/>
      <c r="J96" s="9"/>
      <c r="K96" s="9"/>
      <c r="R96" s="3"/>
      <c r="S96" s="3"/>
    </row>
    <row r="97" ht="12.75" hidden="1">
      <c r="B97" t="s">
        <v>82</v>
      </c>
    </row>
    <row r="98" spans="8:20" ht="12.75" hidden="1">
      <c r="H98" s="32"/>
      <c r="I98" s="33"/>
      <c r="J98" s="32"/>
      <c r="K98" s="33"/>
      <c r="L98" s="33"/>
      <c r="M98" s="33"/>
      <c r="N98" s="33"/>
      <c r="O98" s="33"/>
      <c r="P98" s="33"/>
      <c r="Q98" s="33"/>
      <c r="R98" s="33"/>
      <c r="S98" s="33"/>
      <c r="T98" s="35"/>
    </row>
    <row r="99" ht="12.75" hidden="1">
      <c r="B99" s="14" t="s">
        <v>91</v>
      </c>
    </row>
    <row r="100" ht="12.75" hidden="1">
      <c r="B100" s="14" t="s">
        <v>92</v>
      </c>
    </row>
    <row r="101" ht="12.75" hidden="1">
      <c r="B101" t="s">
        <v>93</v>
      </c>
    </row>
    <row r="102" ht="12.75" hidden="1">
      <c r="B102" t="s">
        <v>94</v>
      </c>
    </row>
    <row r="103" ht="12.75" hidden="1">
      <c r="B103" t="s">
        <v>95</v>
      </c>
    </row>
    <row r="104" ht="12.75" hidden="1">
      <c r="B104" t="s">
        <v>81</v>
      </c>
    </row>
    <row r="105" ht="12.75" hidden="1">
      <c r="B105" t="s">
        <v>96</v>
      </c>
    </row>
    <row r="106" ht="12.75" hidden="1">
      <c r="B106" t="s">
        <v>97</v>
      </c>
    </row>
    <row r="107" spans="2:10" ht="12.75" hidden="1">
      <c r="B107" t="s">
        <v>98</v>
      </c>
      <c r="J107" s="4"/>
    </row>
    <row r="108" ht="12.75" hidden="1">
      <c r="B108" t="s">
        <v>99</v>
      </c>
    </row>
  </sheetData>
  <mergeCells count="87">
    <mergeCell ref="B56:E56"/>
    <mergeCell ref="B57:E57"/>
    <mergeCell ref="B58:E58"/>
    <mergeCell ref="F43:G43"/>
    <mergeCell ref="F55:G55"/>
    <mergeCell ref="F56:G56"/>
    <mergeCell ref="F57:G57"/>
    <mergeCell ref="F58:G58"/>
    <mergeCell ref="B45:E45"/>
    <mergeCell ref="F45:G45"/>
    <mergeCell ref="B28:V28"/>
    <mergeCell ref="B31:E31"/>
    <mergeCell ref="B53:E53"/>
    <mergeCell ref="B55:E55"/>
    <mergeCell ref="B32:E32"/>
    <mergeCell ref="F32:G32"/>
    <mergeCell ref="F33:G33"/>
    <mergeCell ref="B34:E34"/>
    <mergeCell ref="F34:G34"/>
    <mergeCell ref="B35:E35"/>
    <mergeCell ref="A3:V3"/>
    <mergeCell ref="A12:J12"/>
    <mergeCell ref="A9:X9"/>
    <mergeCell ref="A2:W2"/>
    <mergeCell ref="A13:K13"/>
    <mergeCell ref="A15:C15"/>
    <mergeCell ref="B17:E17"/>
    <mergeCell ref="F17:G17"/>
    <mergeCell ref="B18:E18"/>
    <mergeCell ref="F18:G18"/>
    <mergeCell ref="B19:E19"/>
    <mergeCell ref="F19:G19"/>
    <mergeCell ref="B21:E21"/>
    <mergeCell ref="F21:G21"/>
    <mergeCell ref="B22:E22"/>
    <mergeCell ref="F22:G22"/>
    <mergeCell ref="F23:G23"/>
    <mergeCell ref="B24:E24"/>
    <mergeCell ref="F24:G24"/>
    <mergeCell ref="A26:C26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B46:E46"/>
    <mergeCell ref="F46:G46"/>
    <mergeCell ref="B47:E47"/>
    <mergeCell ref="F47:G47"/>
    <mergeCell ref="B48:E48"/>
    <mergeCell ref="F48:G48"/>
    <mergeCell ref="B49:E49"/>
    <mergeCell ref="F49:G49"/>
    <mergeCell ref="B50:E50"/>
    <mergeCell ref="F50:G50"/>
    <mergeCell ref="B51:E51"/>
    <mergeCell ref="F51:G51"/>
    <mergeCell ref="B52:E52"/>
    <mergeCell ref="F52:G52"/>
    <mergeCell ref="F53:G53"/>
    <mergeCell ref="F54:G54"/>
    <mergeCell ref="B61:E61"/>
    <mergeCell ref="F61:G61"/>
    <mergeCell ref="F64:G64"/>
    <mergeCell ref="F65:G65"/>
    <mergeCell ref="F66:G66"/>
    <mergeCell ref="F67:G67"/>
    <mergeCell ref="F68:G68"/>
    <mergeCell ref="F69:G69"/>
    <mergeCell ref="F70:G70"/>
    <mergeCell ref="B71:E71"/>
    <mergeCell ref="F71:G71"/>
    <mergeCell ref="B72:E72"/>
    <mergeCell ref="F72:G72"/>
    <mergeCell ref="F81:G81"/>
    <mergeCell ref="B73:E73"/>
    <mergeCell ref="F73:G73"/>
    <mergeCell ref="F77:G77"/>
    <mergeCell ref="F80:G8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Орбита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Мануева Любовь</dc:creator>
  <cp:keywords/>
  <dc:description/>
  <cp:lastModifiedBy>Мануева Любовь</cp:lastModifiedBy>
  <cp:lastPrinted>2013-04-14T14:17:20Z</cp:lastPrinted>
  <dcterms:created xsi:type="dcterms:W3CDTF">2011-02-26T10:16:07Z</dcterms:created>
  <dcterms:modified xsi:type="dcterms:W3CDTF">2013-04-14T14:17:53Z</dcterms:modified>
  <cp:category/>
  <cp:version/>
  <cp:contentType/>
  <cp:contentStatus/>
</cp:coreProperties>
</file>